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omments1.xml" ContentType="application/vnd.openxmlformats-officedocument.spreadsheetml.comments+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omments2.xml" ContentType="application/vnd.openxmlformats-officedocument.spreadsheetml.comments+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omments3.xml" ContentType="application/vnd.openxmlformats-officedocument.spreadsheetml.comments+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comments4.xml" ContentType="application/vnd.openxmlformats-officedocument.spreadsheetml.comments+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comments5.xml" ContentType="application/vnd.openxmlformats-officedocument.spreadsheetml.comments+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bookViews>
    <workbookView xWindow="0" yWindow="0" windowWidth="19440" windowHeight="7830" firstSheet="1" activeTab="1"/>
  </bookViews>
  <sheets>
    <sheet name="Servente" sheetId="18" state="hidden" r:id="rId1"/>
    <sheet name="Encarregado (Líder)" sheetId="24" r:id="rId2"/>
    <sheet name="ASG sem Insalubridade" sheetId="23" r:id="rId3"/>
    <sheet name="Encarregado" sheetId="19" state="hidden" r:id="rId4"/>
    <sheet name="ASG com Insalubridade (40%)" sheetId="26" r:id="rId5"/>
    <sheet name="Uniformes e EPI" sheetId="11" r:id="rId6"/>
    <sheet name="Equipamentos" sheetId="12" r:id="rId7"/>
    <sheet name="Materiais" sheetId="14" r:id="rId8"/>
    <sheet name="Ambientes" sheetId="1" r:id="rId9"/>
    <sheet name="Tipos de Área e Produtivida" sheetId="22" r:id="rId10"/>
    <sheet name="Valor Total da Contratação" sheetId="27" r:id="rId11"/>
  </sheets>
  <definedNames>
    <definedName name="_1A" localSheetId="3">Encarregado!$D$11</definedName>
    <definedName name="_1A" localSheetId="0">Servente!$D$11</definedName>
    <definedName name="_1A" localSheetId="9">#REF!</definedName>
    <definedName name="_1A">#REF!</definedName>
    <definedName name="_1B" localSheetId="3">Encarregado!$D$12</definedName>
    <definedName name="_1B" localSheetId="0">Servente!$D$12</definedName>
    <definedName name="_1B" localSheetId="9">#REF!</definedName>
    <definedName name="_1B">#REF!</definedName>
    <definedName name="_1C" localSheetId="3">Encarregado!$D$13</definedName>
    <definedName name="_1C" localSheetId="0">Servente!$D$13</definedName>
    <definedName name="_1C" localSheetId="9">#REF!</definedName>
    <definedName name="_1C">#REF!</definedName>
    <definedName name="_1D" localSheetId="3">Encarregado!$D$14</definedName>
    <definedName name="_1D" localSheetId="0">Servente!$D$14</definedName>
    <definedName name="_1D" localSheetId="9">#REF!</definedName>
    <definedName name="_1D">#REF!</definedName>
    <definedName name="_1E" localSheetId="3">Encarregado!$D$15</definedName>
    <definedName name="_1E" localSheetId="0">Servente!$D$15</definedName>
    <definedName name="_1E" localSheetId="9">#REF!</definedName>
    <definedName name="_1E">#REF!</definedName>
    <definedName name="_1F" localSheetId="3">Encarregado!$D$16</definedName>
    <definedName name="_1F" localSheetId="0">Servente!$D$16</definedName>
    <definedName name="_1F" localSheetId="9">#REF!</definedName>
    <definedName name="_1F">#REF!</definedName>
    <definedName name="_2.1A" localSheetId="3">Encarregado!$D$22</definedName>
    <definedName name="_2.1A" localSheetId="0">Servente!$D$22</definedName>
    <definedName name="_2.1A" localSheetId="9">#REF!</definedName>
    <definedName name="_2.1A">#REF!</definedName>
    <definedName name="_2.1B" localSheetId="3">Encarregado!$D$23</definedName>
    <definedName name="_2.1B" localSheetId="0">Servente!$D$23</definedName>
    <definedName name="_2.1B" localSheetId="9">#REF!</definedName>
    <definedName name="_2.1B">#REF!</definedName>
    <definedName name="_2.3A" localSheetId="3">Encarregado!$D$49</definedName>
    <definedName name="_2.3A" localSheetId="0">Servente!$D$49</definedName>
    <definedName name="_2.3A" localSheetId="9">#REF!</definedName>
    <definedName name="_2.3A">#REF!</definedName>
    <definedName name="_2.3B" localSheetId="3">Encarregado!$D$50</definedName>
    <definedName name="_2.3B" localSheetId="0">Servente!$D$50</definedName>
    <definedName name="_2.3B" localSheetId="9">#REF!</definedName>
    <definedName name="_2.3B">#REF!</definedName>
    <definedName name="_2.3C" localSheetId="3">Encarregado!$D$51</definedName>
    <definedName name="_2.3C" localSheetId="0">Servente!$D$51</definedName>
    <definedName name="_2.3C" localSheetId="9">#REF!</definedName>
    <definedName name="_2.3C">#REF!</definedName>
    <definedName name="_2.3D" localSheetId="3">Encarregado!$D$52</definedName>
    <definedName name="_2.3D" localSheetId="0">Servente!$D$52</definedName>
    <definedName name="_2.3D" localSheetId="9">#REF!</definedName>
    <definedName name="_2.3D">#REF!</definedName>
    <definedName name="_xlcn.WorksheetConnection_PlanilhaLimpeza.xlsxTable3" hidden="1">Table3</definedName>
    <definedName name="_xlnm.Print_Area" localSheetId="8">QuadroAmbientes[#All]</definedName>
    <definedName name="Salário_Normativo_da_Categoria_Profissional" localSheetId="3">Encarregado!$D$5</definedName>
    <definedName name="Salário_Normativo_da_Categoria_Profissional" localSheetId="0">Servente!$D$5</definedName>
    <definedName name="Salário_Normativo_da_Categoria_Profissional" localSheetId="9">#REF!</definedName>
    <definedName name="Salário_Normativo_da_Categoria_Profissional">#REF!</definedName>
    <definedName name="SalarioBase" localSheetId="3">Encarregado!$D$5</definedName>
    <definedName name="SalarioBase" localSheetId="0">Servente!$D$5</definedName>
    <definedName name="SalarioBase" localSheetId="9">#REF!</definedName>
    <definedName name="SalarioBase">#REF!</definedName>
    <definedName name="Total1" localSheetId="3">Encarregado!#REF!</definedName>
    <definedName name="Total1" localSheetId="0">Servente!#REF!</definedName>
    <definedName name="Total1" localSheetId="9">#REF!</definedName>
    <definedName name="Total1">#REF!</definedName>
    <definedName name="Total2.1" localSheetId="3">Encarregado!#REF!</definedName>
    <definedName name="Total2.1" localSheetId="0">Servente!#REF!</definedName>
    <definedName name="Total2.1" localSheetId="9">#REF!</definedName>
    <definedName name="Total2.1">#REF!</definedName>
    <definedName name="Total2.2" localSheetId="3">Encarregado!#REF!</definedName>
    <definedName name="Total2.2" localSheetId="0">Servente!#REF!</definedName>
    <definedName name="Total2.2" localSheetId="9">#REF!</definedName>
    <definedName name="Total2.2">#REF!</definedName>
    <definedName name="Total2.3" localSheetId="3">Encarregado!#REF!</definedName>
    <definedName name="Total2.3" localSheetId="0">Servente!#REF!</definedName>
    <definedName name="Total2.3" localSheetId="9">#REF!</definedName>
    <definedName name="Total2.3">#REF!</definedName>
  </definedNames>
  <calcPr calcId="144525"/>
</workbook>
</file>

<file path=xl/calcChain.xml><?xml version="1.0" encoding="utf-8"?>
<calcChain xmlns="http://schemas.openxmlformats.org/spreadsheetml/2006/main">
  <c r="M12" i="27" l="1"/>
  <c r="M11" i="27"/>
  <c r="M10" i="27"/>
  <c r="M9" i="27"/>
  <c r="M8" i="27"/>
  <c r="M7" i="27"/>
  <c r="M6" i="27"/>
  <c r="X5" i="27"/>
  <c r="M5" i="27"/>
  <c r="M4" i="27"/>
  <c r="X12" i="27"/>
  <c r="X11" i="27"/>
  <c r="X8" i="27"/>
  <c r="X7" i="27"/>
  <c r="X6" i="27"/>
  <c r="D43" i="1"/>
  <c r="F51" i="14"/>
  <c r="F52" i="14" s="1"/>
  <c r="G29" i="11"/>
  <c r="H29" i="11" s="1"/>
  <c r="G28" i="11"/>
  <c r="H28" i="11" s="1"/>
  <c r="G27" i="11"/>
  <c r="H27" i="11" s="1"/>
  <c r="G26" i="11"/>
  <c r="H26" i="11" s="1"/>
  <c r="G22" i="11"/>
  <c r="F21" i="11"/>
  <c r="G21" i="11" s="1"/>
  <c r="G20" i="11"/>
  <c r="F20" i="11"/>
  <c r="F19" i="11"/>
  <c r="G19" i="11" s="1"/>
  <c r="F18" i="11"/>
  <c r="G18" i="11" s="1"/>
  <c r="G13" i="11"/>
  <c r="H13" i="11" s="1"/>
  <c r="H12" i="11"/>
  <c r="G12" i="11"/>
  <c r="G11" i="11"/>
  <c r="H11" i="11" s="1"/>
  <c r="H10" i="11"/>
  <c r="G10" i="11"/>
  <c r="G6" i="11"/>
  <c r="H6" i="11" s="1"/>
  <c r="H5" i="11"/>
  <c r="H3" i="11"/>
  <c r="D92" i="26"/>
  <c r="D87" i="26"/>
  <c r="C82" i="26"/>
  <c r="D55" i="26"/>
  <c r="C34" i="26"/>
  <c r="C40" i="26" s="1"/>
  <c r="C23" i="26"/>
  <c r="C22" i="26"/>
  <c r="D11" i="26"/>
  <c r="D13" i="26" s="1"/>
  <c r="C137" i="19"/>
  <c r="C136" i="19"/>
  <c r="C135" i="19"/>
  <c r="C134" i="19" s="1"/>
  <c r="C133" i="19"/>
  <c r="C132" i="19"/>
  <c r="D117" i="19"/>
  <c r="D121" i="19" s="1"/>
  <c r="D147" i="19" s="1"/>
  <c r="D107" i="19"/>
  <c r="D112" i="19" s="1"/>
  <c r="C96" i="19"/>
  <c r="D50" i="19"/>
  <c r="C41" i="19"/>
  <c r="C35" i="19"/>
  <c r="D11" i="19"/>
  <c r="D92" i="23"/>
  <c r="D87" i="23"/>
  <c r="C34" i="23"/>
  <c r="C40" i="23" s="1"/>
  <c r="C23" i="23"/>
  <c r="C22" i="23"/>
  <c r="D11" i="23"/>
  <c r="D17" i="23" s="1"/>
  <c r="D92" i="24"/>
  <c r="D87" i="24"/>
  <c r="C82" i="24"/>
  <c r="C40" i="24"/>
  <c r="C34" i="24"/>
  <c r="C23" i="24"/>
  <c r="C22" i="24"/>
  <c r="D17" i="24"/>
  <c r="D68" i="24" s="1"/>
  <c r="C137" i="18"/>
  <c r="C136" i="18"/>
  <c r="C135" i="18"/>
  <c r="C134" i="18"/>
  <c r="C133" i="18"/>
  <c r="C132" i="18"/>
  <c r="D107" i="18"/>
  <c r="D112" i="18" s="1"/>
  <c r="C96" i="18"/>
  <c r="D65" i="18"/>
  <c r="D50" i="18"/>
  <c r="C35" i="18"/>
  <c r="D17" i="18"/>
  <c r="D11" i="18"/>
  <c r="H30" i="11" l="1"/>
  <c r="F33" i="12"/>
  <c r="D122" i="23"/>
  <c r="D68" i="23"/>
  <c r="D60" i="23"/>
  <c r="D61" i="23" s="1"/>
  <c r="D49" i="24"/>
  <c r="D55" i="24" s="1"/>
  <c r="D62" i="24"/>
  <c r="D26" i="24"/>
  <c r="D65" i="24"/>
  <c r="D22" i="24"/>
  <c r="D37" i="18"/>
  <c r="D34" i="18"/>
  <c r="D143" i="18"/>
  <c r="D40" i="18"/>
  <c r="D36" i="18"/>
  <c r="D23" i="18"/>
  <c r="G25" i="18"/>
  <c r="D94" i="18" s="1"/>
  <c r="D38" i="18"/>
  <c r="D22" i="18"/>
  <c r="D24" i="18" s="1"/>
  <c r="D63" i="18" s="1"/>
  <c r="D35" i="18"/>
  <c r="G24" i="18"/>
  <c r="C82" i="23"/>
  <c r="X4" i="27"/>
  <c r="D63" i="24"/>
  <c r="D64" i="24" s="1"/>
  <c r="D23" i="23"/>
  <c r="D49" i="23"/>
  <c r="D55" i="23" s="1"/>
  <c r="D63" i="23"/>
  <c r="D64" i="23" s="1"/>
  <c r="D65" i="23"/>
  <c r="D49" i="19"/>
  <c r="D54" i="19" s="1"/>
  <c r="D65" i="19" s="1"/>
  <c r="D17" i="19"/>
  <c r="D17" i="26"/>
  <c r="D23" i="24"/>
  <c r="D24" i="24" s="1"/>
  <c r="D60" i="24"/>
  <c r="D103" i="24"/>
  <c r="D103" i="23"/>
  <c r="D62" i="23"/>
  <c r="D26" i="23"/>
  <c r="D22" i="23"/>
  <c r="D24" i="23" s="1"/>
  <c r="H7" i="11"/>
  <c r="D101" i="24" s="1"/>
  <c r="H14" i="11"/>
  <c r="F30" i="14"/>
  <c r="X10" i="27"/>
  <c r="F34" i="12" l="1"/>
  <c r="F35" i="12"/>
  <c r="D66" i="23"/>
  <c r="D105" i="23" s="1"/>
  <c r="D107" i="24"/>
  <c r="K20" i="22"/>
  <c r="L20" i="22" s="1"/>
  <c r="D39" i="19"/>
  <c r="G25" i="19"/>
  <c r="D94" i="19" s="1"/>
  <c r="D22" i="19"/>
  <c r="D24" i="19" s="1"/>
  <c r="D63" i="19" s="1"/>
  <c r="D38" i="19"/>
  <c r="D143" i="19"/>
  <c r="D23" i="19"/>
  <c r="D34" i="19"/>
  <c r="D61" i="24"/>
  <c r="D66" i="24" s="1"/>
  <c r="D62" i="26"/>
  <c r="D26" i="26"/>
  <c r="D22" i="26"/>
  <c r="D103" i="26"/>
  <c r="D68" i="26"/>
  <c r="D65" i="26"/>
  <c r="D60" i="26"/>
  <c r="D23" i="26"/>
  <c r="D63" i="26"/>
  <c r="D64" i="26" s="1"/>
  <c r="D122" i="26"/>
  <c r="D27" i="23"/>
  <c r="D28" i="23" s="1"/>
  <c r="D53" i="23"/>
  <c r="D72" i="18"/>
  <c r="D71" i="18"/>
  <c r="D74" i="18"/>
  <c r="D117" i="18"/>
  <c r="D53" i="24"/>
  <c r="D27" i="24"/>
  <c r="D28" i="24" s="1"/>
  <c r="D93" i="18"/>
  <c r="D92" i="18"/>
  <c r="D95" i="18"/>
  <c r="D91" i="18"/>
  <c r="D90" i="18"/>
  <c r="D70" i="18"/>
  <c r="D75" i="18"/>
  <c r="D33" i="18"/>
  <c r="D39" i="18"/>
  <c r="F36" i="12" l="1"/>
  <c r="D70" i="23"/>
  <c r="D124" i="23"/>
  <c r="D36" i="23"/>
  <c r="D33" i="23"/>
  <c r="D38" i="23"/>
  <c r="D35" i="23"/>
  <c r="D37" i="23"/>
  <c r="D32" i="23"/>
  <c r="D39" i="23"/>
  <c r="D34" i="23"/>
  <c r="D105" i="24"/>
  <c r="D70" i="24"/>
  <c r="D38" i="24"/>
  <c r="D34" i="24"/>
  <c r="D36" i="24"/>
  <c r="D33" i="24"/>
  <c r="D37" i="24"/>
  <c r="D35" i="24"/>
  <c r="D32" i="24"/>
  <c r="D39" i="24"/>
  <c r="D96" i="18"/>
  <c r="D111" i="18" s="1"/>
  <c r="D113" i="18" s="1"/>
  <c r="D146" i="18" s="1"/>
  <c r="D40" i="19"/>
  <c r="D33" i="19"/>
  <c r="D41" i="18"/>
  <c r="D64" i="18" s="1"/>
  <c r="D66" i="18" s="1"/>
  <c r="D75" i="19"/>
  <c r="D70" i="19"/>
  <c r="D61" i="26"/>
  <c r="D66" i="26"/>
  <c r="D24" i="26"/>
  <c r="D36" i="19"/>
  <c r="D37" i="19"/>
  <c r="G24" i="19"/>
  <c r="D35" i="19"/>
  <c r="D40" i="23" l="1"/>
  <c r="D54" i="23" s="1"/>
  <c r="D56" i="23" s="1"/>
  <c r="D123" i="23" s="1"/>
  <c r="D70" i="26"/>
  <c r="D124" i="26"/>
  <c r="D105" i="26"/>
  <c r="D92" i="19"/>
  <c r="D95" i="19"/>
  <c r="D91" i="19"/>
  <c r="D90" i="19"/>
  <c r="D96" i="19" s="1"/>
  <c r="D111" i="19" s="1"/>
  <c r="D113" i="19" s="1"/>
  <c r="D146" i="19" s="1"/>
  <c r="D93" i="19"/>
  <c r="D53" i="26"/>
  <c r="D27" i="26"/>
  <c r="D28" i="26" s="1"/>
  <c r="D41" i="19"/>
  <c r="D64" i="19" s="1"/>
  <c r="D66" i="19" s="1"/>
  <c r="D40" i="24"/>
  <c r="D54" i="24" s="1"/>
  <c r="D56" i="24" s="1"/>
  <c r="D144" i="18"/>
  <c r="D73" i="18"/>
  <c r="D76" i="18" s="1"/>
  <c r="D145" i="18" s="1"/>
  <c r="D71" i="19"/>
  <c r="D74" i="19"/>
  <c r="D72" i="19"/>
  <c r="M20" i="22" l="1"/>
  <c r="D104" i="23"/>
  <c r="D69" i="23"/>
  <c r="D71" i="23" s="1"/>
  <c r="D78" i="23" s="1"/>
  <c r="B22" i="22"/>
  <c r="D120" i="18"/>
  <c r="D118" i="18"/>
  <c r="D121" i="18" s="1"/>
  <c r="D147" i="18" s="1"/>
  <c r="D132" i="18" s="1"/>
  <c r="F53" i="14"/>
  <c r="D119" i="18"/>
  <c r="F31" i="14"/>
  <c r="F37" i="12"/>
  <c r="D37" i="26"/>
  <c r="D38" i="26"/>
  <c r="D36" i="26"/>
  <c r="D33" i="26"/>
  <c r="D39" i="26"/>
  <c r="D32" i="26"/>
  <c r="D35" i="26"/>
  <c r="D34" i="26"/>
  <c r="D104" i="24"/>
  <c r="D69" i="24"/>
  <c r="D71" i="24" s="1"/>
  <c r="D144" i="19"/>
  <c r="D73" i="19"/>
  <c r="D76" i="19" s="1"/>
  <c r="D145" i="19" s="1"/>
  <c r="D40" i="26" l="1"/>
  <c r="D54" i="26" s="1"/>
  <c r="D56" i="26" s="1"/>
  <c r="D123" i="26" s="1"/>
  <c r="D81" i="23"/>
  <c r="D80" i="23"/>
  <c r="D77" i="23"/>
  <c r="D76" i="23"/>
  <c r="D79" i="23"/>
  <c r="D148" i="18"/>
  <c r="D138" i="18"/>
  <c r="D149" i="18" s="1"/>
  <c r="D133" i="18"/>
  <c r="D150" i="18" s="1"/>
  <c r="D80" i="24"/>
  <c r="D78" i="24"/>
  <c r="D76" i="24"/>
  <c r="D79" i="24"/>
  <c r="D77" i="24"/>
  <c r="D81" i="24"/>
  <c r="F55" i="14"/>
  <c r="D132" i="19"/>
  <c r="D148" i="19"/>
  <c r="D104" i="26" l="1"/>
  <c r="D69" i="26"/>
  <c r="D71" i="26" s="1"/>
  <c r="D76" i="26" s="1"/>
  <c r="D82" i="23"/>
  <c r="D91" i="23" s="1"/>
  <c r="D93" i="23" s="1"/>
  <c r="D106" i="23" s="1"/>
  <c r="D136" i="18"/>
  <c r="D134" i="18"/>
  <c r="D135" i="18"/>
  <c r="D137" i="18"/>
  <c r="D133" i="19"/>
  <c r="D150" i="19" s="1"/>
  <c r="D82" i="24"/>
  <c r="D91" i="24" s="1"/>
  <c r="D93" i="24" s="1"/>
  <c r="D81" i="26" l="1"/>
  <c r="D78" i="26"/>
  <c r="D80" i="26"/>
  <c r="D79" i="26"/>
  <c r="D77" i="26"/>
  <c r="D125" i="23"/>
  <c r="D137" i="19"/>
  <c r="D135" i="19"/>
  <c r="D134" i="19"/>
  <c r="D138" i="19" s="1"/>
  <c r="D149" i="19" s="1"/>
  <c r="D136" i="19"/>
  <c r="D106" i="24"/>
  <c r="D108" i="24" s="1"/>
  <c r="D107" i="26"/>
  <c r="D126" i="26"/>
  <c r="D107" i="23"/>
  <c r="D108" i="23" s="1"/>
  <c r="D126" i="23"/>
  <c r="D127" i="23" s="1"/>
  <c r="D82" i="26" l="1"/>
  <c r="D91" i="26" s="1"/>
  <c r="D93" i="26" s="1"/>
  <c r="D106" i="26" s="1"/>
  <c r="D108" i="26" s="1"/>
  <c r="D112" i="23"/>
  <c r="D113" i="23" s="1"/>
  <c r="D125" i="26" l="1"/>
  <c r="D127" i="26" s="1"/>
  <c r="D112" i="26"/>
  <c r="D113" i="26" s="1"/>
  <c r="D116" i="26" l="1"/>
  <c r="D117" i="26"/>
  <c r="D115" i="26"/>
  <c r="D117" i="23"/>
  <c r="D116" i="23"/>
  <c r="D115" i="23"/>
  <c r="D114" i="26" l="1"/>
  <c r="D118" i="26" s="1"/>
  <c r="D128" i="26" s="1"/>
  <c r="D129" i="26" s="1"/>
  <c r="G46" i="27" s="1"/>
  <c r="I46" i="27" s="1"/>
  <c r="D114" i="23"/>
  <c r="D118" i="23" s="1"/>
  <c r="D128" i="23" s="1"/>
  <c r="D129" i="23" s="1"/>
  <c r="G30" i="27" s="1"/>
  <c r="I30" i="27" s="1"/>
  <c r="G38" i="27" l="1"/>
  <c r="I38" i="27" s="1"/>
  <c r="G54" i="27"/>
  <c r="I54" i="27" s="1"/>
  <c r="G22" i="27"/>
  <c r="I22" i="27" s="1"/>
  <c r="G62" i="27"/>
  <c r="I62" i="27" s="1"/>
  <c r="G70" i="27"/>
  <c r="I70" i="27" s="1"/>
  <c r="G14" i="27"/>
  <c r="I14" i="27" s="1"/>
  <c r="G6" i="27"/>
  <c r="I6" i="27" s="1"/>
  <c r="G78" i="27"/>
  <c r="I78" i="27" s="1"/>
  <c r="G13" i="27"/>
  <c r="I13" i="27" s="1"/>
  <c r="G77" i="27" l="1"/>
  <c r="I77" i="27" s="1"/>
  <c r="I79" i="27" s="1"/>
  <c r="G45" i="27"/>
  <c r="I45" i="27" s="1"/>
  <c r="I47" i="27" s="1"/>
  <c r="U9" i="27" s="1"/>
  <c r="Z9" i="27" s="1"/>
  <c r="G69" i="27"/>
  <c r="I69" i="27" s="1"/>
  <c r="I71" i="27" s="1"/>
  <c r="U12" i="27" s="1"/>
  <c r="Z12" i="27" s="1"/>
  <c r="G37" i="27"/>
  <c r="I37" i="27" s="1"/>
  <c r="I39" i="27" s="1"/>
  <c r="U8" i="27" s="1"/>
  <c r="Z8" i="27" s="1"/>
  <c r="G61" i="27"/>
  <c r="I61" i="27" s="1"/>
  <c r="I63" i="27" s="1"/>
  <c r="U11" i="27" s="1"/>
  <c r="Z11" i="27" s="1"/>
  <c r="G29" i="27"/>
  <c r="I29" i="27" s="1"/>
  <c r="I31" i="27" s="1"/>
  <c r="U7" i="27" s="1"/>
  <c r="Z7" i="27" s="1"/>
  <c r="I15" i="27"/>
  <c r="U5" i="27" s="1"/>
  <c r="Z5" i="27" s="1"/>
  <c r="G53" i="27"/>
  <c r="I53" i="27" s="1"/>
  <c r="I55" i="27" s="1"/>
  <c r="U10" i="27" s="1"/>
  <c r="Z10" i="27" s="1"/>
  <c r="G21" i="27"/>
  <c r="I21" i="27" s="1"/>
  <c r="I23" i="27" s="1"/>
  <c r="U6" i="27" s="1"/>
  <c r="Z6" i="27" s="1"/>
  <c r="G5" i="27"/>
  <c r="I5" i="27" s="1"/>
  <c r="I7" i="27" s="1"/>
  <c r="U4" i="27" s="1"/>
  <c r="Z4" i="27" s="1"/>
  <c r="Z14" i="27" l="1"/>
  <c r="Z15" i="27" s="1"/>
</calcChain>
</file>

<file path=xl/comments1.xml><?xml version="1.0" encoding="utf-8"?>
<comments xmlns="http://schemas.openxmlformats.org/spreadsheetml/2006/main">
  <authors>
    <author>Daniel Carlos</author>
  </authors>
  <commentList>
    <comment ref="G16" authorId="0">
      <text>
        <r>
          <rPr>
            <b/>
            <sz val="9"/>
            <rFont val="Tahoma"/>
            <charset val="134"/>
          </rPr>
          <t>Daniel Carlos:</t>
        </r>
        <r>
          <rPr>
            <sz val="9"/>
            <rFont val="Tahoma"/>
            <charset val="134"/>
          </rPr>
          <t xml:space="preserve">
Valores que constam no caderno técnico. A unidade deve realizar pesquisa de mercado para o levantamento do percentual médio destas rubricas.</t>
        </r>
      </text>
    </comment>
  </commentList>
</comments>
</file>

<file path=xl/comments2.xml><?xml version="1.0" encoding="utf-8"?>
<comments xmlns="http://schemas.openxmlformats.org/spreadsheetml/2006/main">
  <authors>
    <author>Daniel Carlos</author>
  </authors>
  <commentList>
    <comment ref="G16" authorId="0">
      <text>
        <r>
          <rPr>
            <b/>
            <sz val="9"/>
            <rFont val="Tahoma"/>
            <charset val="134"/>
          </rPr>
          <t>Daniel Carlos:</t>
        </r>
        <r>
          <rPr>
            <sz val="9"/>
            <rFont val="Tahoma"/>
            <charset val="134"/>
          </rPr>
          <t xml:space="preserve">
Valores que constam no caderno técnico. A unidade deve realizar pesquisa de mercado para o levantamento do percentual médio destas rubricas.</t>
        </r>
      </text>
    </comment>
  </commentList>
</comments>
</file>

<file path=xl/comments3.xml><?xml version="1.0" encoding="utf-8"?>
<comments xmlns="http://schemas.openxmlformats.org/spreadsheetml/2006/main">
  <authors>
    <author>Daniel Carlos</author>
  </authors>
  <commentList>
    <comment ref="G16" authorId="0">
      <text>
        <r>
          <rPr>
            <b/>
            <sz val="9"/>
            <rFont val="Tahoma"/>
            <charset val="134"/>
          </rPr>
          <t>Daniel Carlos:</t>
        </r>
        <r>
          <rPr>
            <sz val="9"/>
            <rFont val="Tahoma"/>
            <charset val="134"/>
          </rPr>
          <t xml:space="preserve">
Valores que constam no caderno técnico. A unidade deve realizar pesquisa de mercado para o levantamento do percentual médio destas rubricas.</t>
        </r>
      </text>
    </comment>
  </commentList>
</comments>
</file>

<file path=xl/comments4.xml><?xml version="1.0" encoding="utf-8"?>
<comments xmlns="http://schemas.openxmlformats.org/spreadsheetml/2006/main">
  <authors>
    <author>Daniel Carlos</author>
  </authors>
  <commentList>
    <comment ref="G16" authorId="0">
      <text>
        <r>
          <rPr>
            <b/>
            <sz val="9"/>
            <rFont val="Tahoma"/>
            <charset val="134"/>
          </rPr>
          <t>Daniel Carlos:</t>
        </r>
        <r>
          <rPr>
            <sz val="9"/>
            <rFont val="Tahoma"/>
            <charset val="134"/>
          </rPr>
          <t xml:space="preserve">
Valores que constam no caderno técnico. A unidade deve realizar pesquisa de mercado para o levantamento do percentual médio destas rubricas.</t>
        </r>
      </text>
    </comment>
  </commentList>
</comments>
</file>

<file path=xl/comments5.xml><?xml version="1.0" encoding="utf-8"?>
<comments xmlns="http://schemas.openxmlformats.org/spreadsheetml/2006/main">
  <authors>
    <author>Daniel Carlos</author>
  </authors>
  <commentList>
    <comment ref="G16" authorId="0">
      <text>
        <r>
          <rPr>
            <b/>
            <sz val="9"/>
            <rFont val="Tahoma"/>
            <charset val="134"/>
          </rPr>
          <t>Daniel Carlos:</t>
        </r>
        <r>
          <rPr>
            <sz val="9"/>
            <rFont val="Tahoma"/>
            <charset val="134"/>
          </rPr>
          <t xml:space="preserve">
Valores que constam no caderno técnico. A unidade deve realizar pesquisa de mercado para o levantamento do percentual médio destas rubricas.</t>
        </r>
      </text>
    </comment>
  </commentList>
</comments>
</file>

<file path=xl/comments6.xml><?xml version="1.0" encoding="utf-8"?>
<comments xmlns="http://schemas.openxmlformats.org/spreadsheetml/2006/main">
  <authors>
    <author>Daniel Carlos</author>
  </authors>
  <commentList>
    <comment ref="C2" authorId="0">
      <text>
        <r>
          <rPr>
            <b/>
            <sz val="9"/>
            <rFont val="Tahoma"/>
            <charset val="134"/>
          </rPr>
          <t>Daniel Carlos:</t>
        </r>
        <r>
          <rPr>
            <sz val="9"/>
            <rFont val="Tahoma"/>
            <charset val="134"/>
          </rPr>
          <t xml:space="preserve">
Utilizar esta coluna para inserir diretamente o quantitativo de m² para cada tipo de área, caso não se utilize a planilha "ambientes".</t>
        </r>
      </text>
    </comment>
  </commentList>
</comments>
</file>

<file path=xl/connections.xml><?xml version="1.0" encoding="utf-8"?>
<connections xmlns="http://schemas.openxmlformats.org/spreadsheetml/2006/main">
  <connection id="1" name="WorksheetConnection_Planilha Limpeza.xlsx!Table3" type="5" refreshedVersion="2" saveData="1">
    <dbPr connection="" command=""/>
  </connection>
</connections>
</file>

<file path=xl/sharedStrings.xml><?xml version="1.0" encoding="utf-8"?>
<sst xmlns="http://schemas.openxmlformats.org/spreadsheetml/2006/main" count="1879" uniqueCount="425">
  <si>
    <t>Dados para composição dos custos referentes a mão de obra</t>
  </si>
  <si>
    <t>Dados Gerais</t>
  </si>
  <si>
    <t>Item</t>
  </si>
  <si>
    <t>Descrição</t>
  </si>
  <si>
    <t>Comentário</t>
  </si>
  <si>
    <t>Valor</t>
  </si>
  <si>
    <t xml:space="preserve">Tipo de Serviço </t>
  </si>
  <si>
    <t>Limpeza</t>
  </si>
  <si>
    <t>Valor do Vale Transporte</t>
  </si>
  <si>
    <t>Classificação Brasileira de Ocupações (CBO)</t>
  </si>
  <si>
    <t xml:space="preserve">5143-20 </t>
  </si>
  <si>
    <t>Valor do Auxílio Alimentação</t>
  </si>
  <si>
    <t>Salário Normativo da Categoria Profissional</t>
  </si>
  <si>
    <t>CCT PB000199/2019 (Grupo 01)</t>
  </si>
  <si>
    <t>Dias de Trabalho no mês</t>
  </si>
  <si>
    <t>Categoria Profissional</t>
  </si>
  <si>
    <t xml:space="preserve"> CCT PB000199/2019</t>
  </si>
  <si>
    <t>Servente de Limpeza</t>
  </si>
  <si>
    <t>RAT x SAT</t>
  </si>
  <si>
    <t>Data-Base da Categoria</t>
  </si>
  <si>
    <t>01 de Janeiro</t>
  </si>
  <si>
    <t>Dados sobre Desligamento</t>
  </si>
  <si>
    <t>Módulo 1 - Composição da Remuneração</t>
  </si>
  <si>
    <t>Tipos</t>
  </si>
  <si>
    <t>Percentual</t>
  </si>
  <si>
    <t>1</t>
  </si>
  <si>
    <t>Composição da Remuneração</t>
  </si>
  <si>
    <t>SEM justa causa - AP INDENIZADO</t>
  </si>
  <si>
    <t>A</t>
  </si>
  <si>
    <t>Salário-Base</t>
  </si>
  <si>
    <t>SEM justa causa - AP TRABALHADO</t>
  </si>
  <si>
    <t>B</t>
  </si>
  <si>
    <t>Adicional de Periculosidade</t>
  </si>
  <si>
    <t>Demissões COM justa causa</t>
  </si>
  <si>
    <t>C</t>
  </si>
  <si>
    <t>Adicional de Insalubridade</t>
  </si>
  <si>
    <t>D</t>
  </si>
  <si>
    <t>Adicional Noturno</t>
  </si>
  <si>
    <t>CITL</t>
  </si>
  <si>
    <t>E</t>
  </si>
  <si>
    <t>Adicional de Hora Noturna Reduzida</t>
  </si>
  <si>
    <t>F</t>
  </si>
  <si>
    <t>Outros (especificar)</t>
  </si>
  <si>
    <t>Custos indiretos</t>
  </si>
  <si>
    <t>Total</t>
  </si>
  <si>
    <t>Lucro</t>
  </si>
  <si>
    <t>PIS</t>
  </si>
  <si>
    <t>Módulo 2 - Encargos e Benefícios Anuais, Mensais e Diários</t>
  </si>
  <si>
    <t>COFINS</t>
  </si>
  <si>
    <t> Submódulo 2.1 - 13º (décimo terceiro) Salário e Adicional de Férias</t>
  </si>
  <si>
    <t>ISS</t>
  </si>
  <si>
    <t>2.1</t>
  </si>
  <si>
    <t>13º (décimo terceiro) Salário e Adicional de Férias</t>
  </si>
  <si>
    <t>13º (décimo terceiro) Salário</t>
  </si>
  <si>
    <t>Base de Cálculo para o Custo do Profissional Ausente</t>
  </si>
  <si>
    <t>Adicional de Férias</t>
  </si>
  <si>
    <t>BCPPA</t>
  </si>
  <si>
    <t>BCPPA (Afastamento Maternidade)</t>
  </si>
  <si>
    <t>Memória de Cálculo - Submódulo 2.1</t>
  </si>
  <si>
    <t>Rubrica</t>
  </si>
  <si>
    <t>Base de Cálculo</t>
  </si>
  <si>
    <t>Memória de Cálculo</t>
  </si>
  <si>
    <t>13 º (décimo terceiro) Salário</t>
  </si>
  <si>
    <t>Módulo 1 (Total)</t>
  </si>
  <si>
    <t>8,33%  x Base de Cálculo, Sendo 8,33% = 1 ÷ 12</t>
  </si>
  <si>
    <t>Base de Cálculo x (1 ÷ 3)</t>
  </si>
  <si>
    <t>Submódulo 2.2 - Encargos Previdenciários (GPS), Fundo de Garantia por Tempo de Serviço (FGTS) e outras contribuições.</t>
  </si>
  <si>
    <t>2.2</t>
  </si>
  <si>
    <t>GPS, FGTS e outras contribuições</t>
  </si>
  <si>
    <t xml:space="preserve">Valor </t>
  </si>
  <si>
    <t>INSS</t>
  </si>
  <si>
    <t>Salário Educação</t>
  </si>
  <si>
    <t>SAT</t>
  </si>
  <si>
    <t>SESC ou SESI</t>
  </si>
  <si>
    <t>SENAI - SENAC</t>
  </si>
  <si>
    <t>SEBRAE</t>
  </si>
  <si>
    <t>G</t>
  </si>
  <si>
    <t>INCRA</t>
  </si>
  <si>
    <t>H</t>
  </si>
  <si>
    <t>FGTS</t>
  </si>
  <si>
    <t>Memória de Cálculo - Submódulo 2.2</t>
  </si>
  <si>
    <t>A a H</t>
  </si>
  <si>
    <t>Módulo 1 (Total) + Submódulo 2.1</t>
  </si>
  <si>
    <t>Alíquota x Base de Cálculo</t>
  </si>
  <si>
    <t>Submódulo 2.3 - Benefícios Mensais e Diários.</t>
  </si>
  <si>
    <t>2.3</t>
  </si>
  <si>
    <t>Benefícios Mensais e Diários</t>
  </si>
  <si>
    <t>Transporte</t>
  </si>
  <si>
    <t>Auxílio-Refeição/Alimentação</t>
  </si>
  <si>
    <t>Seguro de Vida</t>
  </si>
  <si>
    <t>Auxílio-Morte/Funeral</t>
  </si>
  <si>
    <t>Cláusula Décima Sexta da CCT</t>
  </si>
  <si>
    <t>Benefício Odontológico</t>
  </si>
  <si>
    <t>Cláusula Décima Quarta da CCT</t>
  </si>
  <si>
    <t>Memória de Cálculo - Submódulo 2.3</t>
  </si>
  <si>
    <t>-</t>
  </si>
  <si>
    <t>(Valor do Vale x 2 Vales/dia x Dias de Trabalho) - 6% x Salário Base</t>
  </si>
  <si>
    <t>(Valor do Vale Alim. x Qtde. Dias de Trab)  x 80%</t>
  </si>
  <si>
    <t>Quadro-Resumo do Módulo 2 - Encargos e Benefícios anuais, mensais e diários</t>
  </si>
  <si>
    <t>2</t>
  </si>
  <si>
    <t>Encargos e Benefícios Anuais, Mensais e Diários</t>
  </si>
  <si>
    <t>Módulo 3 - Provisão para Rescisão</t>
  </si>
  <si>
    <t>3</t>
  </si>
  <si>
    <t>Provisão para Rescisão</t>
  </si>
  <si>
    <t>Aviso Prévio Indenizado</t>
  </si>
  <si>
    <t>Incidência do FGTS sobre o Aviso Prévio Indenizado</t>
  </si>
  <si>
    <t>Multa do FGTS e contribuição social sobre o Aviso Prévio Indenizado</t>
  </si>
  <si>
    <t>Aviso Prévio Trabalhado</t>
  </si>
  <si>
    <t>Multa do FGTS e contribuição social sobre o Aviso Prévio Trabalhado</t>
  </si>
  <si>
    <t>(-)Demissão por justa causa</t>
  </si>
  <si>
    <t>Memória de Cálculo - Módulo 3</t>
  </si>
  <si>
    <t>Módulo 1 (Total) + Submódulo 2.1 + Submódulo 2.3</t>
  </si>
  <si>
    <t>(Base de Cálculo / 12) x Percentual de AP Indenizado (Tabela "Dados sobre desligamento")</t>
  </si>
  <si>
    <t>Item H do submódulo 2.2 (FGTS)</t>
  </si>
  <si>
    <t>Base de Cálculo x 50 % (40% de multa + 10% contribuição social) x Percentual de AP Indenizado (Tabela "Dados sobre desligamento")</t>
  </si>
  <si>
    <t>Módulo 1 (Total) + Módulo 2 (Total)</t>
  </si>
  <si>
    <t>(Base de Cálculo / 12) x Percentual de AP Trabalhado (Tabela "Dados sobre desligamento")</t>
  </si>
  <si>
    <t>Base de Cálculo x 50 % (40% de multa + 10% contribuição social) x Percentual de AP Trabalhado (Tabela "Dados sobre desligamento")</t>
  </si>
  <si>
    <t>Submódulo 2.1</t>
  </si>
  <si>
    <t>Base de Cálculo x Percentual de Demissões COM justa Causa (Tabela "Dados sobre desligamento")</t>
  </si>
  <si>
    <t xml:space="preserve">Módulo 4 - Custo de Reposição do Profissional Ausente
</t>
  </si>
  <si>
    <t>Submódulo 4.1 - Substituto nas Ausências Legais</t>
  </si>
  <si>
    <t>4.1</t>
  </si>
  <si>
    <t>Substituto nas Ausências Legais</t>
  </si>
  <si>
    <t>Dias de ausência</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</si>
  <si>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</si>
  <si>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</si>
  <si>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</si>
  <si>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</si>
  <si>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</si>
  <si>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Ausência por Doença</t>
  </si>
  <si>
    <t>Memória de Cálculo - Módulo 4</t>
  </si>
  <si>
    <t>A a F</t>
  </si>
  <si>
    <t>Dias de Ausência conforme caderno técnico de limpeza/PB 2018, p. 20.</t>
  </si>
  <si>
    <t>A, B, C, D e F</t>
  </si>
  <si>
    <t>Valor das rubricas</t>
  </si>
  <si>
    <t xml:space="preserve">Custo diário para o repositor = (Módulo 1 + SubMódulo 2.1 + (Módulo1 / 12) * (100% + Submódulo 2.2 (%)) / 30 </t>
  </si>
  <si>
    <t>(Base de cálculo x Dias de Ausência) / 12</t>
  </si>
  <si>
    <t>Valor das Rubricas</t>
  </si>
  <si>
    <t>Custo diário para o repositor (afastamento maternidade) = ([Módulo 1 x (1 +1/3) x (100% + % sbmódulo 2.2) ]/12 )/ 30</t>
  </si>
  <si>
    <t>Submódulo 4.2 - Substituto na Intrajornada</t>
  </si>
  <si>
    <t>4.2</t>
  </si>
  <si>
    <t>Substituto na Intrajornada </t>
  </si>
  <si>
    <t>Substituto na cobertura de Intervalo para repouso ou alimentação</t>
  </si>
  <si>
    <t>Quadro-Resumo do Módulo 4 - Custo de Reposição do Profissional Ausente</t>
  </si>
  <si>
    <t>4</t>
  </si>
  <si>
    <t>Custo de Reposição do Profissional Ausente</t>
  </si>
  <si>
    <t>Substituto na Intrajornada</t>
  </si>
  <si>
    <t>Módulo 5 - Insumos Diversos</t>
  </si>
  <si>
    <t>5</t>
  </si>
  <si>
    <t>Insumos Diversos</t>
  </si>
  <si>
    <t>Uniformes</t>
  </si>
  <si>
    <t>Materiais</t>
  </si>
  <si>
    <t>Equipamentos</t>
  </si>
  <si>
    <t>EPI</t>
  </si>
  <si>
    <t>Memória de Cálculo - Módulo 5</t>
  </si>
  <si>
    <t>Tabela Uniformes Serventes</t>
  </si>
  <si>
    <t>Total da Tabela Materiais</t>
  </si>
  <si>
    <t>Base de Cálculo / Qtde. de Serventes</t>
  </si>
  <si>
    <t>Custo total dos equipamentos (Manutenção + Depreciação)</t>
  </si>
  <si>
    <t>Módulo 6 - Custos Indiretos, Tributos e Lucro</t>
  </si>
  <si>
    <t>6</t>
  </si>
  <si>
    <t>Custos Indiretos, Tributos e Lucro</t>
  </si>
  <si>
    <t>Custos Indiretos</t>
  </si>
  <si>
    <t>Tributos</t>
  </si>
  <si>
    <t>C.1</t>
  </si>
  <si>
    <t>C.2</t>
  </si>
  <si>
    <t>C.3</t>
  </si>
  <si>
    <t>QUADRO-RESUMO DO CUSTO POR EMPREGADO</t>
  </si>
  <si>
    <t>Mão de obra vinculada à execução contratual</t>
  </si>
  <si>
    <t>Módulo 4 - Custo de Reposição do Profissional Ausente</t>
  </si>
  <si>
    <t>Subtotal (A + B +C+ D+E)</t>
  </si>
  <si>
    <t>Valor Total por Empregado</t>
  </si>
  <si>
    <t xml:space="preserve"> CCT PB00041/2020 (GRUPO VI)</t>
  </si>
  <si>
    <t xml:space="preserve"> CCT PB00041/2020</t>
  </si>
  <si>
    <t>Encarregado</t>
  </si>
  <si>
    <t>BASE DE CÁLCULO PARA O SUBMÓDULO 2.2</t>
  </si>
  <si>
    <t>MÓDULO 1</t>
  </si>
  <si>
    <t>MÓDULO 2.1</t>
  </si>
  <si>
    <t>TOTAL</t>
  </si>
  <si>
    <t>Incidência de GPS, FGTS e outras contribuições sobre o Aviso Prévio Trabalhado</t>
  </si>
  <si>
    <t>BASE DE CÁLCULO PARA O MÓDULO 4</t>
  </si>
  <si>
    <t>MÓDULO 2</t>
  </si>
  <si>
    <t>MÓDULO 3</t>
  </si>
  <si>
    <t>Substituto na cobertura de Outras ausências (especificar)</t>
  </si>
  <si>
    <t>BASE DE CÁLCULO PARA O MÓDULO 6</t>
  </si>
  <si>
    <t>MÓDULO 4</t>
  </si>
  <si>
    <t>MÓDULO 5</t>
  </si>
  <si>
    <t>CÁLCULO POR DENTRO</t>
  </si>
  <si>
    <t>TOTAL DOS TRIBUTOS</t>
  </si>
  <si>
    <t>BASE DE CÁLCULO</t>
  </si>
  <si>
    <t>ÍNDICE</t>
  </si>
  <si>
    <t xml:space="preserve"> CCT PB00041/2020 (GRUPO I)</t>
  </si>
  <si>
    <t>ASG</t>
  </si>
  <si>
    <t>Banheiros (40%)</t>
  </si>
  <si>
    <t>Uniformes Encarregado</t>
  </si>
  <si>
    <t>Peça</t>
  </si>
  <si>
    <t>Unidade</t>
  </si>
  <si>
    <t>Valor Médio Unitário (R$)</t>
  </si>
  <si>
    <t>Quant. Anual</t>
  </si>
  <si>
    <t>Valor Anual/ Empregado (R$)</t>
  </si>
  <si>
    <t>Valor Mensal/ Empregado</t>
  </si>
  <si>
    <t>Camiseta</t>
  </si>
  <si>
    <t>Camiseta tipo polo masculina e/ou feminina, três botões, manga curta, malha fria, cor a ser definida pela Empresa, bolso único no lado esquerdo bordado com logomarca da Empresa nos tamanhos P, M, G, GG e XG.</t>
  </si>
  <si>
    <t>UND</t>
  </si>
  <si>
    <t>Calça</t>
  </si>
  <si>
    <t>Calça jeans unissex tradicional fechamento com zíper e um botão, dois bolsos traseiros, dois bolsos frontais nos tamanhos P, M, G, GG e XG.</t>
  </si>
  <si>
    <t>Meia</t>
  </si>
  <si>
    <t>Meia, modelo cano alto , composição: 88% Algodão, 2% Lycra e 10% Poliamida, na cor preta.</t>
  </si>
  <si>
    <t>PAR</t>
  </si>
  <si>
    <t>Calçado</t>
  </si>
  <si>
    <t>Tênis Adventure Coturno unissex. Confeccionado em material sintético, forrado cacharrel Palmilha confortável. Solado de borracha antiderrapante, que proporcionam maior estabilidade ao solo.</t>
  </si>
  <si>
    <t>Uniformes Servente</t>
  </si>
  <si>
    <t>UNIDADE</t>
  </si>
  <si>
    <t xml:space="preserve">Calça 100% poliéster com elástico no cós, bolso modelo simples tradicional frontal, nos tamanhos P, M, G, GG e XG. </t>
  </si>
  <si>
    <t>Botina de Segurança com elástico lateral recoberto confeccionado em vaqueta estampa relax dorso acolchoado forro interno na gáspea não tecido e forro do cano em sanitec dublado com manta de não tecido com tratamento antimicrobiano bico plástico palmilha de montagem não tecido solado nitrílico colado e baqueado e sobre palmilha antimicrobiana.</t>
  </si>
  <si>
    <t>Comprida, com elástico e cordão, de gabardine.</t>
  </si>
  <si>
    <t>Malha fria PV, gola careca, com emblema da empresa.</t>
  </si>
  <si>
    <t>De algodão, tipo soquete.</t>
  </si>
  <si>
    <t xml:space="preserve">Tênis preto em couro, solado baixo, com palmilha  antibacteriana. </t>
  </si>
  <si>
    <t>EPI Limpeza</t>
  </si>
  <si>
    <t>UNIDADE2</t>
  </si>
  <si>
    <t>Valor Total Anual (R$)</t>
  </si>
  <si>
    <t>Valor Total Mensal (R$)</t>
  </si>
  <si>
    <t>Avental</t>
  </si>
  <si>
    <t xml:space="preserve">Avental PVC com forro Preto 1,2 metros </t>
  </si>
  <si>
    <t>Luva</t>
  </si>
  <si>
    <t>Luva de vaqueta mista</t>
  </si>
  <si>
    <t>Protetor Facial</t>
  </si>
  <si>
    <t>Protetor facial incolor</t>
  </si>
  <si>
    <t>Capa de Chuva</t>
  </si>
  <si>
    <t>Capa de chuva - capa chuva, material napa, tipo uso passeio, transmitância opaca, cor incolor, características adicionais com capuz.</t>
  </si>
  <si>
    <t>Estimativa ANUAL de utensílios de USO NÃO EXCEPCIONAL</t>
  </si>
  <si>
    <t>Valor Médio Unitário</t>
  </si>
  <si>
    <t>Quant.</t>
  </si>
  <si>
    <t>Valor Total (R$)</t>
  </si>
  <si>
    <t>Placas de sinalização de limpeza confeccionada em acrílico, tipo “Piso Molhado”</t>
  </si>
  <si>
    <t>Placas de Sinalização, confeccionada em acrílico, tipo “Banheiro Fora de Uso”</t>
  </si>
  <si>
    <t>Placas de Sinalização, confeccionada em acrílico, tipo “Em manutenção”</t>
  </si>
  <si>
    <t>Extensão Elétrica, fio paralelo de 2,5 mm e 40 m de comprimento.</t>
  </si>
  <si>
    <t>Extensão elétrica com 20 m de comprimento</t>
  </si>
  <si>
    <t>Extensão Elétrica trifásica, 2,5 mm, 100m de comprimento.</t>
  </si>
  <si>
    <t>Escada articulada de alumínio, multiuso de 12 degraus</t>
  </si>
  <si>
    <t>Escada de alumínio tipo tesoura com 06 degraus</t>
  </si>
  <si>
    <t>Espátula de aço</t>
  </si>
  <si>
    <t>Carrinho de mão - carrinho mão, material caçamba chapa aço galvanizado, material chassi ferro, material pés ferro, tipo travessa suporte dianteiro caçamba, quantidade roda 1, tipo roda pneu maciço, com 3,2 pol de diâmetro, espessura caçamba 5 mm, comprimento eixo 25 cm, comprimento 80 cm, largura 62 cm, altura 20 cm</t>
  </si>
  <si>
    <t>Carro plataforma 04 (quatro) rodas: Confeccionado em perfil de chapa de aço e estrutura tubular. Medidas: 150 x 80 cm (comp x larg). Possui uma aba de 70cm de altura. Rodagem: possui quatro rodas pneumáticas 410-350x8 aro chapa roletada, sendo giratórias. Capacidade de carga 800 kg.</t>
  </si>
  <si>
    <t>Tesoura de grama</t>
  </si>
  <si>
    <t>Enxada - enxada, material aço carbono, material encaixe cabo ferro fundido, largura 30 cm, altura 18 cm, peso 1 Kg, tipo estampado (achatado), material cabo madeira, comprimento cabo 150cm.</t>
  </si>
  <si>
    <t>Cortador de Grama Elétrico</t>
  </si>
  <si>
    <t>Escada com 05 metros</t>
  </si>
  <si>
    <t>Podador de Galhos</t>
  </si>
  <si>
    <t>Tanquinho elétrico – 220 v para lavagem de panos de limpeza</t>
  </si>
  <si>
    <t>Dispenser para Papel higiênico compatível com o papel fornecido, uso nos banheiros.</t>
  </si>
  <si>
    <t>Dispenser para Papel toalha folha dupla, uso nos banheiros e copas. O dispenser deverá liberar um papel por vez, deixando o próximo pronto para uso.</t>
  </si>
  <si>
    <t>Dispenser para Sabonete líquido concentrado</t>
  </si>
  <si>
    <t>Saboneteira em ABS ALTO IMPACTO para Álcool Gel ou Sabonete Líquido em Sachê ou Refil 5-J7AI.</t>
  </si>
  <si>
    <t>Refil para saboneteira em ABS ALTO IMPACTO para Álcool Gel ou Sabonete Líquido em Sachê ou Refil 5-J7AI</t>
  </si>
  <si>
    <t>Kit Mop água para limpeza e lavagem de pisos frios em geral (Carro funcional América: Conjunto Doblo 50 litros;02 Cabos alumínio 1,40m; Haste Americana; Refil de algodão 320g; Armação Mop Profi; Refil Mop Pó Profi Pá POP; Placa sinalizadora.</t>
  </si>
  <si>
    <t>Kit Mop Pó: Rodo Largura: 13 cm; Altura: 75 cm; Cor: Branco / Azul; Material da Base: Microfibra; Função / Aplição: Limpar / Lustar; Altura do Cabo: 140 cm; Usa Refil: Sim; Altura: 75 cm; Largura: 13 cm; Comprimento: 107 cm; Peso: 626 g; Garantia: 3 meses;</t>
  </si>
  <si>
    <t>Facão - facão, material lâmina aço, material cabo polipropileno, comprimento 14 pol, tipo para mato.</t>
  </si>
  <si>
    <t>Lavadora de alta pressão - lavadora alta pressão, pressão 1450 lb, vazão 400 l/h, tensão 110/220v, potência consumida 1,5, peso 11,50 kg.</t>
  </si>
  <si>
    <t>Enceradeira - enceradeira, tipo industrial, potência motor 800 w, tipo motor monofásico, tensão alimentação 220 v, diâmetro escova 380 mm, características adicionais escova de pelo, suporte madeira e lixa.</t>
  </si>
  <si>
    <t>Chibanca - chibanca, material aço carbono, material encaixe cabo aço carbono, material cabo madeira, largura 10 cm, altura 50 cm, peso 2 Kg, aplicação construção civil.</t>
  </si>
  <si>
    <t>Aspirador de pó - aspirador pó/líquido, material plástico alta resistência, tipo uso profissional, voltagem bivolt, potência aspirador 1400 W, capacidade tanque 13 L, cor amarela.</t>
  </si>
  <si>
    <t>Soprador E Aspirador De Folhas 3000w Sf3000 Trapp, 220 volts, elétrica.</t>
  </si>
  <si>
    <t>Manutenção mensal</t>
  </si>
  <si>
    <t>Depreciação mensal</t>
  </si>
  <si>
    <t>Custo Total dos equipamentos (Manutenção + Depreciação)</t>
  </si>
  <si>
    <t>Custo Total dos e Equipamentos por ASG</t>
  </si>
  <si>
    <r>
      <rPr>
        <b/>
        <sz val="11"/>
        <color theme="1"/>
        <rFont val="Calibri"/>
        <charset val="134"/>
        <scheme val="minor"/>
      </rPr>
      <t>Manutenção de Equipamentos</t>
    </r>
    <r>
      <rPr>
        <sz val="11"/>
        <color theme="1"/>
        <rFont val="Calibri"/>
        <charset val="134"/>
        <scheme val="minor"/>
      </rPr>
      <t xml:space="preserve">: O valor do insumo Manutenção de Equipamentos foi obtido adotando-se a metodologia das Tabelas de Composições de Preços para Orçamentação, publicação da Editora Pini, para equipamentos de pequeno porte (aproximadamente 1,5HP), com utilização, em média, de 83h/mês, em conjunto com o Manual de Custos Rodoviários do DNIT, Volume 1, de 2003:
M= k x 83 x V0/VU, onde:
M = custo de manutenção mensal
K = 0,6 (conforme adotado pelo Sicro2 /DNIT – Manual de Custos Rodoviários – Volume 1, página 83);
VU = Vida Útil = 10.000 horas
V0 = Valor de aquisição do equipamento Assim:
Manutenção Mensal = Valor total dos equipamentos (ANEXO IV) x 0,5% a.m.;
</t>
    </r>
    <r>
      <rPr>
        <b/>
        <sz val="11"/>
        <color theme="1"/>
        <rFont val="Calibri"/>
        <charset val="134"/>
        <scheme val="minor"/>
      </rPr>
      <t>Depreciação de Equipamentos:</t>
    </r>
    <r>
      <rPr>
        <sz val="11"/>
        <color theme="1"/>
        <rFont val="Calibri"/>
        <charset val="134"/>
        <scheme val="minor"/>
      </rPr>
      <t xml:space="preserve"> Para o cálculo do insumo Depreciação de Equipamentos, adotou-se vida útil de 8 anos e valor residual de 20%, com base no Manual de Custos Rodoviários do DNIT, volume 1, de 2003.
Depreciação Mensal = [Valor total dos equipamentos x (1,00-0,20)]/(12x8);</t>
    </r>
  </si>
  <si>
    <t>Estimativa MENSAL de produtos de limpeza de uso NÃO EXCEPCIONAL</t>
  </si>
  <si>
    <t xml:space="preserve">  Valor Médio Unitário (R$) </t>
  </si>
  <si>
    <t>QuantidadeMensal</t>
  </si>
  <si>
    <t>Álcool - álcool etílico para limpeza de ambientes, tipo etílico hidratado, aplicação limpeza, características adicionais liquido/incolor/peso molecular 46,07 g/mol, concentração 90º gl.</t>
  </si>
  <si>
    <t>LITRO</t>
  </si>
  <si>
    <t>Cera líquida incolor - cera, tipo líquida, cor incolor leitoso, composição a base de água, carnaúba e resinas metalizadas, características adicionais antiderrapantes, impermeabilizante, aplicação limpeza de pisos.</t>
  </si>
  <si>
    <t>Cloro - cloro alvejante, aspecto físico líquido, apresentação bombona, aplicação remoção manchas, finalidade alvejante e desinfecção de roupas.</t>
  </si>
  <si>
    <t>Desinfetante - desinfetante, composição à base de quaternário de amônio, características adicionais com aroma, princípio ativo cloreto alquil dimetil benzil amônio +tensioativos, teor ativo teor ativo em torno de 0,4%, bombonas de 05 litros.</t>
  </si>
  <si>
    <t>Detergente - detergente, composição agente alcalino solvente e detergente sintético. Componente ativo linear alquibenzeno sulfonato de sódio, aplicação remoção gordura e sujeira em geral. Aroma neutro, características adicionais contém tensoativo biodegradável, em 100 bombonas de 05 litros.</t>
  </si>
  <si>
    <t>Escova limpeza geral - escova limpeza geral, material corpo plástico, material cerdas náilon, comprimento 12 cm, largura 5 a 8 cm.</t>
  </si>
  <si>
    <t>Espanador agave - espanador, material sisal, material cabo madeira, comprimento cabo 20 cm.</t>
  </si>
  <si>
    <t>Esponja nailon - esponja limpeza, material espuma / nylon, formato retangular, aplicação limpeza geral, características adicionais dupla face, comprimento mínimo 115 mm, largura mínima 77 mm, espessura mínima 21 mm</t>
  </si>
  <si>
    <t>Flanela - flanela, material flanela, comprimento 40 cm, largura 30 cm, cor amarela</t>
  </si>
  <si>
    <t>Luva (borracha) - luva borracha, material látex antiderrapante, tamanho médio, características adicionais sem forro, uso limpeza em geral.</t>
  </si>
  <si>
    <t>Pá para lixo - material coletor plástico, material cabo madeira, comprimento cabo 80 cm, comprimento 20 cm, largura 18 cm, aplicação limpeza, características adicionais cabo revestido em plástico.</t>
  </si>
  <si>
    <t>Pano de chão - pano limpeza, material 100% algodão, comprimento 70 cm, largura 50 cm, características adicionais chão, cor branca.</t>
  </si>
  <si>
    <t>Pasta limpeza - pasta limpeza, composição água, ácidos graxos, hidróxido de sódio, silicato, aplicação limpeza em geral, apresentação pasta.</t>
  </si>
  <si>
    <r>
      <rPr>
        <sz val="11"/>
        <color theme="1"/>
        <rFont val="Calibri"/>
        <charset val="134"/>
        <scheme val="minor"/>
      </rPr>
      <t>GEL ADESIVO - Desodorizador Sanitário Gel Adesivo 5em1 Marine 38g, características adicionais suporte plástico para vaso sanitário, TIPO MARCA PATO E ASSEMELHADOS.</t>
    </r>
    <r>
      <rPr>
        <b/>
        <sz val="11"/>
        <color theme="1"/>
        <rFont val="Calibri"/>
        <charset val="134"/>
      </rPr>
      <t> </t>
    </r>
  </si>
  <si>
    <t>Purificador de ar - desodorizador, essência lavanda/jasmim, apresentação aerosol, aplicação aromatizador ambiental, características adicionais não contenha CFC.</t>
  </si>
  <si>
    <t>Rodo - rodo, material cabo madeira, material suporte plástico, comprimento suporte 60 cm, quantidade borrachas 2</t>
  </si>
  <si>
    <t>Sabão em pó - sabão pó, aplicação limpeza geral, aditivos alvejante, características adicionais biodegradável TIPO MARCA BENTI-VI.</t>
  </si>
  <si>
    <t>Saco p/ lixo 60 l - saco plástico lixo, capacidade 60, cor preta, largura 68 cm, altura 60 cm, características adicionais resistente, espessura mínimo 4 micras, material polietileno</t>
  </si>
  <si>
    <t>FD 100 UN</t>
  </si>
  <si>
    <t>Saco p/ lixo 100 l - saco plástico lixo, capacidade 100, cor preta, largura 88 cm, altura 100 cm, características adicionais resistente, espessura mínimo 4 micras, material polietileno</t>
  </si>
  <si>
    <t xml:space="preserve">Saco p/ lixo 200 l - saco plástico lixo, capacidade 200, cor preta, largura 88 cm, altura 110 cm, características adicionais reforçado, material polietileno  </t>
  </si>
  <si>
    <t>Vassoura - vassoura, material cerdas nylon, material cepa madeira, comprimento cepa 40 cm, características adicionais cabo de aproximadamente 1,20 cm, largura cepa 5  cm – Tipo TOP10.</t>
  </si>
  <si>
    <t>Vassoura (piaçava) - vassoura, material cerdas piaçava, material cabo madeira, material cepa madeira, comprimento cepa 40 cm, tipo institucional, tipo cabo comprido, largura cepa 7,5 cm, altura cepa 05 cm, aplicação limpeza em geral.</t>
  </si>
  <si>
    <t>Vassoura (sanitário) - vassourinha, material cerda náilon, material cabo plástico, aplicação limpeza sanitário.</t>
  </si>
  <si>
    <t>Sabonete liquido, perolado, concentrado, em 03 (três) fragrâncias: lavanda, erva doce e pêssego.</t>
  </si>
  <si>
    <r>
      <rPr>
        <sz val="11"/>
        <color theme="1"/>
        <rFont val="Calibri"/>
        <charset val="134"/>
        <scheme val="minor"/>
      </rPr>
      <t xml:space="preserve">Álcool </t>
    </r>
    <r>
      <rPr>
        <b/>
        <sz val="11"/>
        <color theme="1"/>
        <rFont val="Calibri"/>
        <charset val="134"/>
      </rPr>
      <t>GEL</t>
    </r>
    <r>
      <rPr>
        <sz val="11"/>
        <color theme="1"/>
        <rFont val="Calibri"/>
        <charset val="134"/>
      </rPr>
      <t xml:space="preserve"> Perfumado E Hidratado, fraco com 5 Litros, TIPO Lembrancinha.</t>
    </r>
  </si>
  <si>
    <t>Silicone, tipo DryWash,  Gel, brilho seco e s/ gordura p/ plásticos/borrachas- 250ml cada.</t>
  </si>
  <si>
    <t>Custo Total dos Materiais por ASG</t>
  </si>
  <si>
    <t>Estimativa SEMESTRAL de utensílios de USO NÃO EXCEPCIONAL</t>
  </si>
  <si>
    <t>QuantidadeSemestral</t>
  </si>
  <si>
    <t>Valor Total Semestral (R$)</t>
  </si>
  <si>
    <t>Desentupidor de pia - desentupidor pia, material borracha flexível, material cabo plástico resistente, volume 10 cm3, tipo sanfonado</t>
  </si>
  <si>
    <t>Desentupidor de sanitário - desentupidor vaso sanitário, material borracha flexível, cor preta, altura 10 cm, diâmetro 16 cm, material cabo madeira, comprimento cabo 50 cm.</t>
  </si>
  <si>
    <t>Balde com capacidade para 20 litros</t>
  </si>
  <si>
    <t>Refil Mop pó</t>
  </si>
  <si>
    <t>Refil Mop água</t>
  </si>
  <si>
    <t>Balde com capacidade para 10 litros.</t>
  </si>
  <si>
    <t>Cera Preta.</t>
  </si>
  <si>
    <t>Mangueira Cristal 25mm, com 50 metros.</t>
  </si>
  <si>
    <t>Disco de lavar para enceradeira</t>
  </si>
  <si>
    <t>Disco de brilho para enceradeira</t>
  </si>
  <si>
    <t>Vassoura teto - vassoura, material cerdas sisal, material cabo madeira, tipo vasculho, aplicação limpeza teto, comprimento cabo 170 cm</t>
  </si>
  <si>
    <t>Luva (couro) - luva de couro, nome luva de couro.</t>
  </si>
  <si>
    <t>Inseticida aerossol spray 300ml ou mais – Tipo baygon ou similar</t>
  </si>
  <si>
    <t>Pneus para carrinho de mão e Carro plataforma 04 (quatro) rodas.</t>
  </si>
  <si>
    <t>Câmara de ar para carrinho de mão e Carro plataforma 04 (quatro) rodas.</t>
  </si>
  <si>
    <t>Custo Total por Mês</t>
  </si>
  <si>
    <t>Custo Total dos Materiais</t>
  </si>
  <si>
    <t>Ambientes do Imóvel</t>
  </si>
  <si>
    <t>Tipo de Área</t>
  </si>
  <si>
    <t>Metragem (m²)</t>
  </si>
  <si>
    <t>Biblioteca Térreo/Superior/anexo</t>
  </si>
  <si>
    <t>Pisos frios</t>
  </si>
  <si>
    <t>Anexo da Informática</t>
  </si>
  <si>
    <t>Mecânica e Automação (Oficinas: 1200 m² a 1800 m²)</t>
  </si>
  <si>
    <t>Oficinas</t>
  </si>
  <si>
    <t>Automação (Pisos frios: 800 m² a 1200  m²)</t>
  </si>
  <si>
    <t>Instrumento Musical</t>
  </si>
  <si>
    <t>Química</t>
  </si>
  <si>
    <t>Química (laboratórios)</t>
  </si>
  <si>
    <t>Laboratórios</t>
  </si>
  <si>
    <t>Design de Interiores</t>
  </si>
  <si>
    <t>Marcenaria/Serralharia</t>
  </si>
  <si>
    <t>Engenharia Elétrica Sala de Professores</t>
  </si>
  <si>
    <t xml:space="preserve">Engenharia Elétrica </t>
  </si>
  <si>
    <t>Informática</t>
  </si>
  <si>
    <t>Bloco Principal Administrativo DG/DDE</t>
  </si>
  <si>
    <t>Bloco Principal Auditórios (Aud. I, Aud.II e Anfiteatro)</t>
  </si>
  <si>
    <t>Bloco Principal Administrativo Grêmio/DCE/Coord. Letras</t>
  </si>
  <si>
    <t>Bloco Principal Administrativo UA4, Coord. PROFEPT, Audio Visual e Multimeios e Polo Ead</t>
  </si>
  <si>
    <t>Bloco Principal Salas de 01 a 12</t>
  </si>
  <si>
    <t>Bloco Secundário Laboratórios de Eletrotécnica</t>
  </si>
  <si>
    <t>Bloco Secundário Salas de 13 a 25, Coordenação de estágio, Sl. Professores, Núcleo</t>
  </si>
  <si>
    <t>Cantina Servidores (Cafezinho)</t>
  </si>
  <si>
    <t>Ginásio I (Almoxarifados/galpões: 1500 m² a 2500 m²)</t>
  </si>
  <si>
    <t>Almoxarifados/galpões</t>
  </si>
  <si>
    <t>Ginásio II (Almoxarifados/galpões: 1500 m² a 2500 m²)</t>
  </si>
  <si>
    <t xml:space="preserve">Guarita Principal </t>
  </si>
  <si>
    <t>Guarita Carmelo Ruffo</t>
  </si>
  <si>
    <t>Guarita Generino Maciel</t>
  </si>
  <si>
    <t>Bloco Terceirizados</t>
  </si>
  <si>
    <t>Bloco Terceirizados (almoxarifados)</t>
  </si>
  <si>
    <t>Bloco Administrativo DAF</t>
  </si>
  <si>
    <t>UA1 - Infraestrutura, Design e Ambiente</t>
  </si>
  <si>
    <t>UA1 - Infraestrutura, Design e Ambiente (laboratórios)</t>
  </si>
  <si>
    <t>UA1 - Infraestrutura, Design e Ambiente (galpão)</t>
  </si>
  <si>
    <t>Passarelas (Varrição de passeios e arruamentos: 6000 m² a 9000 m²)</t>
  </si>
  <si>
    <t>Varrição de passeios e arruamentos</t>
  </si>
  <si>
    <t>UA5 - Gestão e Negócios (Administrativo)</t>
  </si>
  <si>
    <t>UA5 - Gestão e Negócios (Salas de Aula)</t>
  </si>
  <si>
    <t>Refeitório (Salão)</t>
  </si>
  <si>
    <t>Áreas com espaços livres - saguão, hall e salão</t>
  </si>
  <si>
    <t>Banheiros</t>
  </si>
  <si>
    <t>Pisos pavimentados adjacentes/contíguos às edificações</t>
  </si>
  <si>
    <t>Pátios e áreas verdes com média frequência</t>
  </si>
  <si>
    <t>Tipos de Área e Produtividade</t>
  </si>
  <si>
    <t>Tipo</t>
  </si>
  <si>
    <t>Quantidade</t>
  </si>
  <si>
    <t>Frequência no mês/semestre</t>
  </si>
  <si>
    <t>Jornada de Trabalho no mês/Semestre</t>
  </si>
  <si>
    <t>Produtividade Mínima</t>
  </si>
  <si>
    <t>Produtividade Máxima</t>
  </si>
  <si>
    <t>Produtividade Média</t>
  </si>
  <si>
    <t>Produtividade Personalizada</t>
  </si>
  <si>
    <t>Ki</t>
  </si>
  <si>
    <t>Qtde. Serventes</t>
  </si>
  <si>
    <t>Ki ajustado</t>
  </si>
  <si>
    <t>Qte ajustada</t>
  </si>
  <si>
    <t>Produtividade ajustada</t>
  </si>
  <si>
    <t>Pisos acarpetados</t>
  </si>
  <si>
    <t>Área Interna</t>
  </si>
  <si>
    <t>Área Externa</t>
  </si>
  <si>
    <t>Pátios e áreas verdes com alta frequência</t>
  </si>
  <si>
    <t>Pátios e áreas verdes com baixa frequência</t>
  </si>
  <si>
    <t>Coleta de detritos em pátios e áreas verdes com frequência diária</t>
  </si>
  <si>
    <t>Face externa com exposição a situação de risco</t>
  </si>
  <si>
    <t>Esquadrias Externas</t>
  </si>
  <si>
    <t>Face externa sem exposição a situação de risco</t>
  </si>
  <si>
    <t>Face interna</t>
  </si>
  <si>
    <t>Fachadas Envidraçadas</t>
  </si>
  <si>
    <t>ÁREA INTERNA - PISOS FRIOS</t>
  </si>
  <si>
    <t>MÃO DE OBRA</t>
  </si>
  <si>
    <t>(1)</t>
  </si>
  <si>
    <t>(2)</t>
  </si>
  <si>
    <t>(1 x 2)</t>
  </si>
  <si>
    <t>TIPO DE ÁREA</t>
  </si>
  <si>
    <t>PREÇO MENSAL UNITÁRIO</t>
  </si>
  <si>
    <t>ÁREA</t>
  </si>
  <si>
    <t>SUBTOTAL</t>
  </si>
  <si>
    <t>PRODUTIVIDADE</t>
  </si>
  <si>
    <t>PREÇO HOMEM-MÊS</t>
  </si>
  <si>
    <t>(R$ / M²)</t>
  </si>
  <si>
    <t>(M²)</t>
  </si>
  <si>
    <t>(R$)</t>
  </si>
  <si>
    <t>(1/M²)</t>
  </si>
  <si>
    <t>ENCARREGADO</t>
  </si>
  <si>
    <t>1 / (15* x PA**)</t>
  </si>
  <si>
    <t>SERVENTE</t>
  </si>
  <si>
    <t>1 /PA**</t>
  </si>
  <si>
    <t>ÁREA INTERNA - LABORATÓRIOS</t>
  </si>
  <si>
    <t>CUSTO TOTAL DA CONTRATAÇÃO (MÊS)</t>
  </si>
  <si>
    <t>CUSTO TOTAL DA CONTRATAÇÃO (ANUAL)</t>
  </si>
  <si>
    <t>ÁREA INTERNA - ALMOXARIFADOS | GALPÕES</t>
  </si>
  <si>
    <t>ÁREA INTERNA - OFICINAS</t>
  </si>
  <si>
    <t>ÁREA INTERNA - ÁREAS COM ESPAÇOS LIVRES - SAGUÃO | HALL | SALÃO</t>
  </si>
  <si>
    <t>ÁREA INTERNA - BANHEIROS</t>
  </si>
  <si>
    <t>ÁREA EXTERNA - PISOS PAVIMENTADOS ADJACENTES | CONTÍGUOS ÀS EDIFICAÇÕES</t>
  </si>
  <si>
    <t>ÁREA EXTERNA - VARRIÇÃO DE PASSEIOS E ARRUAMENTOS</t>
  </si>
  <si>
    <t>ÁREA EXTERNA - PÁTIOS E ÁREAS VERDES COM MÉDIA FREQUÊNCIA</t>
  </si>
  <si>
    <t>ÁREA MÉDICO - HOSPITALARES E ASSEMELHADAS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</si>
</sst>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0.0000"/>
    <numFmt numFmtId="165" formatCode="&quot;R$&quot;\ #,##0.00_);[Red]\(&quot;R$&quot;\ #,##0.00\)"/>
    <numFmt numFmtId="166" formatCode="&quot;R$&quot;\ #,##0.00"/>
    <numFmt numFmtId="167" formatCode="0.00_ "/>
    <numFmt numFmtId="168" formatCode="&quot;R$&quot;#,##0.00_);[Red]&quot;(R$&quot;#,##0.00\)"/>
    <numFmt numFmtId="169" formatCode="0.0000_ "/>
    <numFmt numFmtId="170" formatCode="&quot;R$&quot;#,##0.00"/>
  </numFmts>
  <fonts count="24">
    <font>
      <sz val="11"/>
      <color theme="1"/>
      <name val="Calibri"/>
      <charset val="134"/>
      <scheme val="minor"/>
    </font>
    <font>
      <b/>
      <sz val="12"/>
      <name val="Calibri"/>
    </font>
    <font>
      <b/>
      <sz val="11"/>
      <name val="Calibri"/>
    </font>
    <font>
      <sz val="11"/>
      <name val="Calibri"/>
    </font>
    <font>
      <sz val="11"/>
      <name val="Calibri"/>
      <charset val="134"/>
      <scheme val="minor"/>
    </font>
    <font>
      <b/>
      <sz val="11"/>
      <color indexed="8"/>
      <name val="Calibri"/>
    </font>
    <font>
      <sz val="10"/>
      <name val="Arial"/>
    </font>
    <font>
      <b/>
      <sz val="11"/>
      <color theme="1"/>
      <name val="Calibri"/>
      <charset val="134"/>
    </font>
    <font>
      <sz val="11"/>
      <color theme="1"/>
      <name val="Calibri"/>
      <charset val="134"/>
    </font>
    <font>
      <sz val="11"/>
      <color rgb="FF000000"/>
      <name val="Calibri"/>
      <charset val="134"/>
    </font>
    <font>
      <sz val="11"/>
      <color theme="0"/>
      <name val="Calibri"/>
      <charset val="134"/>
    </font>
    <font>
      <b/>
      <sz val="11"/>
      <color theme="0"/>
      <name val="Calibri"/>
      <charset val="134"/>
    </font>
    <font>
      <b/>
      <sz val="11"/>
      <color theme="0"/>
      <name val="Calibri"/>
      <charset val="134"/>
      <scheme val="minor"/>
    </font>
    <font>
      <b/>
      <sz val="11"/>
      <color theme="1"/>
      <name val="Calibri"/>
      <charset val="134"/>
      <scheme val="minor"/>
    </font>
    <font>
      <sz val="11"/>
      <color theme="1"/>
      <name val="Arial"/>
      <charset val="134"/>
    </font>
    <font>
      <b/>
      <i/>
      <sz val="11"/>
      <color theme="0"/>
      <name val="Calibri"/>
      <charset val="134"/>
      <scheme val="minor"/>
    </font>
    <font>
      <sz val="11"/>
      <color theme="0"/>
      <name val="Calibri"/>
      <charset val="134"/>
      <scheme val="minor"/>
    </font>
    <font>
      <sz val="10"/>
      <color theme="1"/>
      <name val="Calibri"/>
      <charset val="134"/>
      <scheme val="minor"/>
    </font>
    <font>
      <b/>
      <sz val="11"/>
      <color rgb="FFFFFFFF"/>
      <name val="Calibri"/>
      <charset val="134"/>
    </font>
    <font>
      <b/>
      <sz val="11"/>
      <color rgb="FF000000"/>
      <name val="Calibri"/>
      <charset val="134"/>
    </font>
    <font>
      <sz val="11"/>
      <color indexed="8"/>
      <name val="Calibri"/>
    </font>
    <font>
      <sz val="9"/>
      <name val="Tahoma"/>
      <charset val="134"/>
    </font>
    <font>
      <b/>
      <sz val="9"/>
      <name val="Tahoma"/>
      <charset val="134"/>
    </font>
    <font>
      <sz val="11"/>
      <color theme="1"/>
      <name val="Calibri"/>
      <charset val="134"/>
      <scheme val="minor"/>
    </font>
  </fonts>
  <fills count="18">
    <fill>
      <patternFill patternType="none"/>
    </fill>
    <fill>
      <patternFill patternType="gray125"/>
    </fill>
    <fill>
      <patternFill patternType="solid">
        <fgColor theme="9"/>
        <bgColor indexed="31"/>
      </patternFill>
    </fill>
    <fill>
      <patternFill patternType="solid">
        <fgColor theme="9"/>
        <bgColor indexed="26"/>
      </patternFill>
    </fill>
    <fill>
      <patternFill patternType="solid">
        <fgColor indexed="42"/>
        <bgColor indexed="27"/>
      </patternFill>
    </fill>
    <fill>
      <patternFill patternType="solid">
        <fgColor theme="5"/>
        <bgColor indexed="64"/>
      </patternFill>
    </fill>
    <fill>
      <patternFill patternType="solid">
        <fgColor theme="9"/>
        <bgColor theme="9"/>
      </patternFill>
    </fill>
    <fill>
      <patternFill patternType="solid">
        <fgColor theme="5" tint="0.39994506668294322"/>
        <bgColor indexed="64"/>
      </patternFill>
    </fill>
    <fill>
      <patternFill patternType="solid">
        <fgColor theme="9" tint="0.59999389629810485"/>
        <bgColor theme="9" tint="0.59999389629810485"/>
      </patternFill>
    </fill>
    <fill>
      <patternFill patternType="solid">
        <fgColor theme="9" tint="0.79992065187536243"/>
        <bgColor theme="9" tint="0.79992065187536243"/>
      </patternFill>
    </fill>
    <fill>
      <patternFill patternType="solid">
        <fgColor theme="9"/>
        <bgColor indexed="64"/>
      </patternFill>
    </fill>
    <fill>
      <patternFill patternType="solid">
        <fgColor theme="5" tint="0.39991454817346722"/>
        <bgColor indexed="64"/>
      </patternFill>
    </fill>
    <fill>
      <patternFill patternType="solid">
        <fgColor indexed="65"/>
        <bgColor indexed="64"/>
      </patternFill>
    </fill>
    <fill>
      <patternFill patternType="solid">
        <fgColor rgb="FF70AD47"/>
        <bgColor rgb="FF339966"/>
      </patternFill>
    </fill>
    <fill>
      <patternFill patternType="solid">
        <fgColor rgb="FFC5E0B4"/>
        <bgColor rgb="FFA9D18E"/>
      </patternFill>
    </fill>
    <fill>
      <patternFill patternType="solid">
        <fgColor rgb="FFF4B183"/>
        <bgColor rgb="FFFF99CC"/>
      </patternFill>
    </fill>
    <fill>
      <patternFill patternType="solid">
        <fgColor rgb="FFE2F0D9"/>
        <bgColor rgb="FFF2F2F2"/>
      </patternFill>
    </fill>
    <fill>
      <patternFill patternType="solid">
        <fgColor theme="5" tint="0.39997558519241921"/>
        <bgColor indexed="64"/>
      </patternFill>
    </fill>
  </fills>
  <borders count="2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style="thick">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bottom/>
      <diagonal/>
    </border>
    <border>
      <left style="thin">
        <color auto="1"/>
      </left>
      <right style="thin">
        <color auto="1"/>
      </right>
      <top style="thin">
        <color auto="1"/>
      </top>
      <bottom/>
      <diagonal/>
    </border>
    <border>
      <left/>
      <right/>
      <top/>
      <bottom style="thin">
        <color theme="0"/>
      </bottom>
      <diagonal/>
    </border>
    <border>
      <left style="thin">
        <color rgb="FFFFFFFF"/>
      </left>
      <right style="thin">
        <color rgb="FFFFFFFF"/>
      </right>
      <top style="thick">
        <color rgb="FFFFFFFF"/>
      </top>
      <bottom style="thin">
        <color rgb="FFFFFFFF"/>
      </bottom>
      <diagonal/>
    </border>
    <border>
      <left style="thin">
        <color rgb="FFFFFFFF"/>
      </left>
      <right style="thin">
        <color rgb="FFFFFFFF"/>
      </right>
      <top style="thin">
        <color rgb="FFFFFFFF"/>
      </top>
      <bottom style="thick">
        <color rgb="FFFFFFFF"/>
      </bottom>
      <diagonal/>
    </border>
    <border>
      <left style="thin">
        <color rgb="FFFFFFFF"/>
      </left>
      <right/>
      <top/>
      <bottom style="thick">
        <color rgb="FFFFFFFF"/>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43" fontId="23" fillId="0" borderId="0" applyFont="0" applyFill="0" applyBorder="0" applyAlignment="0" applyProtection="0"/>
    <xf numFmtId="9" fontId="23" fillId="0" borderId="0" applyFont="0" applyFill="0" applyBorder="0" applyAlignment="0" applyProtection="0"/>
    <xf numFmtId="44" fontId="23" fillId="0" borderId="0" applyFont="0" applyFill="0" applyBorder="0" applyAlignment="0" applyProtection="0"/>
    <xf numFmtId="0" fontId="20" fillId="0" borderId="0"/>
  </cellStyleXfs>
  <cellXfs count="192">
    <xf numFmtId="0" fontId="0" fillId="0" borderId="0" xfId="0"/>
    <xf numFmtId="0" fontId="4" fillId="0" borderId="0" xfId="0" applyFont="1"/>
    <xf numFmtId="165" fontId="0" fillId="0" borderId="0" xfId="0" applyNumberFormat="1"/>
    <xf numFmtId="0" fontId="8" fillId="0" borderId="0" xfId="0" applyFont="1" applyAlignment="1">
      <alignment horizontal="center" vertical="center" wrapText="1"/>
    </xf>
    <xf numFmtId="0" fontId="9"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9" fillId="5" borderId="0" xfId="0" applyFont="1" applyFill="1" applyAlignment="1">
      <alignment vertical="center"/>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xf numFmtId="0" fontId="8" fillId="0" borderId="0" xfId="0" applyFont="1" applyAlignment="1">
      <alignment wrapText="1"/>
    </xf>
    <xf numFmtId="0" fontId="11" fillId="6" borderId="6" xfId="0" applyFont="1" applyFill="1" applyBorder="1" applyAlignment="1">
      <alignment horizontal="center" vertical="center" wrapText="1"/>
    </xf>
    <xf numFmtId="0" fontId="8" fillId="7" borderId="0" xfId="0" applyFont="1" applyFill="1" applyAlignment="1">
      <alignment horizontal="center" vertical="center"/>
    </xf>
    <xf numFmtId="2" fontId="8" fillId="0" borderId="0" xfId="0" applyNumberFormat="1" applyFont="1" applyAlignment="1">
      <alignment horizontal="center" vertical="center"/>
    </xf>
    <xf numFmtId="0" fontId="8" fillId="0" borderId="0" xfId="0" applyFont="1" applyAlignment="1">
      <alignment vertical="center"/>
    </xf>
    <xf numFmtId="2" fontId="8" fillId="5" borderId="0" xfId="0" applyNumberFormat="1" applyFont="1" applyFill="1" applyAlignment="1">
      <alignment horizontal="center" vertical="center"/>
    </xf>
    <xf numFmtId="0" fontId="8" fillId="5" borderId="0" xfId="0" applyFont="1" applyFill="1" applyAlignment="1">
      <alignment vertical="center"/>
    </xf>
    <xf numFmtId="164" fontId="8" fillId="0" borderId="0" xfId="0" applyNumberFormat="1" applyFont="1" applyAlignment="1">
      <alignment horizontal="center" vertical="center"/>
    </xf>
    <xf numFmtId="0" fontId="0" fillId="0" borderId="0" xfId="0" applyAlignment="1">
      <alignment wrapText="1"/>
    </xf>
    <xf numFmtId="0" fontId="0" fillId="0" borderId="0" xfId="0" applyAlignment="1">
      <alignment horizontal="center"/>
    </xf>
    <xf numFmtId="0" fontId="0" fillId="8" borderId="7" xfId="0" applyFont="1" applyFill="1" applyBorder="1" applyAlignment="1">
      <alignment horizontal="center"/>
    </xf>
    <xf numFmtId="0" fontId="0" fillId="0" borderId="0" xfId="0" applyFont="1"/>
    <xf numFmtId="0" fontId="0" fillId="8" borderId="8" xfId="0" applyFont="1" applyFill="1" applyBorder="1"/>
    <xf numFmtId="2" fontId="0" fillId="8" borderId="9" xfId="0" applyNumberFormat="1" applyFont="1" applyFill="1" applyBorder="1" applyAlignment="1">
      <alignment horizontal="center"/>
    </xf>
    <xf numFmtId="0" fontId="0" fillId="9" borderId="7" xfId="0" applyFont="1" applyFill="1" applyBorder="1" applyAlignment="1">
      <alignment horizontal="center"/>
    </xf>
    <xf numFmtId="0" fontId="0" fillId="9" borderId="8" xfId="0" applyFont="1" applyFill="1" applyBorder="1"/>
    <xf numFmtId="2" fontId="0" fillId="9" borderId="10" xfId="0" applyNumberFormat="1" applyFont="1" applyFill="1" applyBorder="1" applyAlignment="1">
      <alignment horizontal="center"/>
    </xf>
    <xf numFmtId="2" fontId="0" fillId="8" borderId="9" xfId="0" applyNumberFormat="1" applyFont="1" applyFill="1" applyBorder="1" applyAlignment="1">
      <alignment horizontal="left"/>
    </xf>
    <xf numFmtId="166" fontId="0" fillId="0" borderId="0" xfId="0" applyNumberFormat="1" applyFont="1" applyAlignment="1">
      <alignment horizontal="left" vertical="center"/>
    </xf>
    <xf numFmtId="0" fontId="0" fillId="0" borderId="0" xfId="0" applyFont="1" applyAlignment="1">
      <alignment wrapText="1"/>
    </xf>
    <xf numFmtId="0" fontId="12" fillId="10" borderId="0" xfId="0" applyFont="1" applyFill="1" applyAlignment="1">
      <alignment horizontal="center" vertical="center"/>
    </xf>
    <xf numFmtId="0" fontId="12" fillId="10" borderId="0" xfId="0" applyFont="1" applyFill="1" applyAlignment="1">
      <alignment horizontal="center" vertical="center" wrapText="1"/>
    </xf>
    <xf numFmtId="167" fontId="12" fillId="10" borderId="0" xfId="0" applyNumberFormat="1" applyFont="1" applyFill="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xf>
    <xf numFmtId="0" fontId="0" fillId="0" borderId="0" xfId="0" applyAlignment="1">
      <alignment horizontal="justify" vertical="top" wrapText="1"/>
    </xf>
    <xf numFmtId="166" fontId="0" fillId="11" borderId="0" xfId="0" applyNumberFormat="1" applyFill="1" applyAlignment="1">
      <alignment horizontal="center" vertical="center"/>
    </xf>
    <xf numFmtId="166" fontId="0" fillId="0" borderId="0" xfId="0" applyNumberFormat="1" applyAlignment="1">
      <alignment horizontal="center" vertical="center"/>
    </xf>
    <xf numFmtId="0" fontId="14" fillId="0" borderId="0" xfId="0" applyFont="1" applyAlignment="1">
      <alignment horizontal="justify" vertical="top" wrapText="1"/>
    </xf>
    <xf numFmtId="0" fontId="12" fillId="6" borderId="11" xfId="0" applyFont="1" applyFill="1" applyBorder="1" applyAlignment="1">
      <alignment horizontal="center" vertical="center"/>
    </xf>
    <xf numFmtId="165" fontId="12" fillId="6" borderId="11" xfId="0" applyNumberFormat="1" applyFont="1" applyFill="1" applyBorder="1" applyAlignment="1">
      <alignment horizontal="center" vertical="center"/>
    </xf>
    <xf numFmtId="0" fontId="0" fillId="10" borderId="0" xfId="0" applyFill="1" applyAlignment="1">
      <alignment horizontal="center"/>
    </xf>
    <xf numFmtId="0" fontId="15" fillId="10" borderId="0" xfId="0" applyFont="1" applyFill="1" applyAlignment="1">
      <alignment horizontal="center" vertical="center"/>
    </xf>
    <xf numFmtId="0" fontId="16" fillId="10" borderId="0" xfId="0" applyFont="1" applyFill="1"/>
    <xf numFmtId="165" fontId="15" fillId="10" borderId="0" xfId="0" applyNumberFormat="1" applyFont="1" applyFill="1"/>
    <xf numFmtId="0" fontId="0" fillId="0" borderId="0" xfId="0" applyFill="1" applyAlignment="1">
      <alignment horizontal="center"/>
    </xf>
    <xf numFmtId="0" fontId="12" fillId="0" borderId="0" xfId="0" applyFont="1" applyFill="1" applyAlignment="1">
      <alignment horizontal="center" vertical="center"/>
    </xf>
    <xf numFmtId="0" fontId="16" fillId="0" borderId="0" xfId="0" applyFont="1" applyFill="1"/>
    <xf numFmtId="0" fontId="0" fillId="12" borderId="0" xfId="0" applyFill="1" applyProtection="1">
      <protection locked="0"/>
    </xf>
    <xf numFmtId="0" fontId="13" fillId="12" borderId="0" xfId="0" applyFont="1" applyFill="1" applyAlignment="1" applyProtection="1">
      <alignment horizontal="center" vertical="center"/>
      <protection locked="0"/>
    </xf>
    <xf numFmtId="166" fontId="0" fillId="0" borderId="0" xfId="0" applyNumberFormat="1" applyFont="1" applyAlignment="1">
      <alignment horizontal="center" vertical="center"/>
    </xf>
    <xf numFmtId="0" fontId="12" fillId="6" borderId="0" xfId="0" applyFont="1" applyFill="1" applyAlignment="1">
      <alignment horizontal="center" vertical="center"/>
    </xf>
    <xf numFmtId="165" fontId="12" fillId="6" borderId="0" xfId="0" applyNumberFormat="1" applyFont="1" applyFill="1" applyAlignment="1">
      <alignment horizontal="center" vertical="center"/>
    </xf>
    <xf numFmtId="0" fontId="0" fillId="10" borderId="0" xfId="0" applyNumberFormat="1" applyFill="1" applyAlignment="1">
      <alignment horizontal="center" vertical="center"/>
    </xf>
    <xf numFmtId="0" fontId="15" fillId="10" borderId="0" xfId="0" applyFont="1" applyFill="1" applyAlignment="1">
      <alignment horizontal="center" vertical="center" wrapText="1"/>
    </xf>
    <xf numFmtId="166" fontId="16" fillId="10" borderId="0" xfId="0" applyNumberFormat="1" applyFont="1" applyFill="1" applyAlignment="1">
      <alignment horizontal="center" vertical="center"/>
    </xf>
    <xf numFmtId="166" fontId="15" fillId="10" borderId="0" xfId="0" applyNumberFormat="1" applyFont="1" applyFill="1" applyAlignment="1">
      <alignment horizontal="center" vertical="center"/>
    </xf>
    <xf numFmtId="0" fontId="0" fillId="10" borderId="12" xfId="0" applyNumberFormat="1" applyFont="1" applyFill="1" applyBorder="1" applyAlignment="1">
      <alignment horizontal="center" vertical="center"/>
    </xf>
    <xf numFmtId="0" fontId="15" fillId="10" borderId="13" xfId="0" applyFont="1" applyFill="1" applyBorder="1" applyAlignment="1">
      <alignment horizontal="center" vertical="center" wrapText="1"/>
    </xf>
    <xf numFmtId="166" fontId="16" fillId="10" borderId="13" xfId="0" applyNumberFormat="1" applyFont="1" applyFill="1" applyBorder="1" applyAlignment="1">
      <alignment horizontal="center" vertical="center"/>
    </xf>
    <xf numFmtId="0" fontId="12" fillId="6" borderId="14" xfId="0" applyFont="1" applyFill="1" applyBorder="1" applyAlignment="1">
      <alignment horizontal="center" vertical="center"/>
    </xf>
    <xf numFmtId="166" fontId="15" fillId="10" borderId="9"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justify" wrapText="1"/>
    </xf>
    <xf numFmtId="0" fontId="0" fillId="0" borderId="0" xfId="0" applyFont="1" applyAlignment="1">
      <alignment horizontal="center" vertical="center"/>
    </xf>
    <xf numFmtId="165" fontId="0" fillId="11" borderId="0" xfId="0" applyNumberFormat="1" applyFill="1" applyAlignment="1">
      <alignment horizontal="center" vertical="center"/>
    </xf>
    <xf numFmtId="165" fontId="0" fillId="0" borderId="0" xfId="0" applyNumberFormat="1" applyAlignment="1">
      <alignment horizontal="center" vertical="center"/>
    </xf>
    <xf numFmtId="0" fontId="0" fillId="0" borderId="0" xfId="0" applyAlignment="1">
      <alignment horizontal="left" wrapText="1"/>
    </xf>
    <xf numFmtId="0" fontId="8" fillId="0" borderId="0" xfId="0" applyFont="1" applyAlignment="1">
      <alignment horizontal="justify" wrapText="1"/>
    </xf>
    <xf numFmtId="0" fontId="0" fillId="0" borderId="0" xfId="0" applyAlignment="1">
      <alignment vertical="top" wrapText="1"/>
    </xf>
    <xf numFmtId="166" fontId="12" fillId="10" borderId="10" xfId="0" applyNumberFormat="1" applyFont="1" applyFill="1" applyBorder="1" applyAlignment="1">
      <alignment horizontal="center"/>
    </xf>
    <xf numFmtId="0" fontId="0" fillId="0" borderId="18" xfId="0" applyBorder="1"/>
    <xf numFmtId="166" fontId="12" fillId="10" borderId="8" xfId="0" applyNumberFormat="1" applyFont="1" applyFill="1" applyBorder="1" applyAlignment="1">
      <alignment horizontal="center"/>
    </xf>
    <xf numFmtId="0" fontId="0" fillId="0" borderId="0" xfId="0" applyFont="1" applyAlignment="1">
      <alignment horizontal="center" vertical="center" wrapText="1"/>
    </xf>
    <xf numFmtId="0" fontId="0" fillId="0" borderId="0" xfId="0" applyFont="1" applyAlignment="1">
      <alignment horizontal="justify" vertical="center" wrapText="1"/>
    </xf>
    <xf numFmtId="166" fontId="0" fillId="11" borderId="0" xfId="0" applyNumberFormat="1" applyFill="1" applyAlignment="1">
      <alignment horizontal="center" vertical="center" wrapText="1"/>
    </xf>
    <xf numFmtId="0" fontId="0" fillId="11" borderId="0" xfId="0" applyFill="1" applyAlignment="1">
      <alignment horizontal="center" vertical="center" wrapText="1"/>
    </xf>
    <xf numFmtId="166" fontId="0" fillId="0" borderId="0" xfId="0" applyNumberFormat="1" applyAlignment="1">
      <alignment horizontal="center" vertical="center" wrapText="1"/>
    </xf>
    <xf numFmtId="0" fontId="17" fillId="0" borderId="0" xfId="0" applyFont="1" applyAlignment="1">
      <alignment horizontal="justify" vertical="center" wrapText="1"/>
    </xf>
    <xf numFmtId="166" fontId="0" fillId="0" borderId="0" xfId="0" applyNumberFormat="1" applyAlignment="1">
      <alignment horizontal="center"/>
    </xf>
    <xf numFmtId="0" fontId="0" fillId="0" borderId="0" xfId="0" applyAlignment="1">
      <alignment horizontal="justify" vertical="center" wrapText="1"/>
    </xf>
    <xf numFmtId="166" fontId="0" fillId="7" borderId="0" xfId="0" applyNumberFormat="1" applyFill="1" applyAlignment="1">
      <alignment horizontal="center" vertical="center" wrapText="1"/>
    </xf>
    <xf numFmtId="0" fontId="0" fillId="7" borderId="0" xfId="0" applyFill="1" applyAlignment="1">
      <alignment horizontal="center" vertical="center" wrapText="1"/>
    </xf>
    <xf numFmtId="0" fontId="0" fillId="0" borderId="0" xfId="0" applyAlignment="1">
      <alignment horizontal="center" wrapText="1"/>
    </xf>
    <xf numFmtId="166" fontId="0" fillId="7" borderId="0" xfId="0" applyNumberFormat="1" applyFill="1" applyAlignment="1">
      <alignment horizontal="center" wrapText="1"/>
    </xf>
    <xf numFmtId="0" fontId="0" fillId="7" borderId="0" xfId="0" applyFill="1" applyAlignment="1">
      <alignment horizontal="center" wrapText="1"/>
    </xf>
    <xf numFmtId="166" fontId="0" fillId="0" borderId="0" xfId="0" applyNumberFormat="1" applyAlignment="1">
      <alignment horizontal="center" wrapText="1"/>
    </xf>
    <xf numFmtId="0" fontId="0" fillId="0" borderId="0" xfId="0" applyAlignment="1">
      <alignment horizontal="justify"/>
    </xf>
    <xf numFmtId="166" fontId="0" fillId="7" borderId="0" xfId="0" applyNumberFormat="1" applyFill="1" applyAlignment="1">
      <alignment horizontal="center"/>
    </xf>
    <xf numFmtId="0" fontId="0" fillId="7" borderId="0" xfId="0" applyFill="1" applyAlignment="1">
      <alignment horizontal="center"/>
    </xf>
    <xf numFmtId="0" fontId="0" fillId="0" borderId="0" xfId="0" applyAlignment="1">
      <alignment horizontal="justify" vertical="center"/>
    </xf>
    <xf numFmtId="166" fontId="0" fillId="7" borderId="0" xfId="0" applyNumberFormat="1" applyFill="1" applyAlignment="1">
      <alignment horizontal="center" vertical="center"/>
    </xf>
    <xf numFmtId="0" fontId="0" fillId="7" borderId="0" xfId="0" applyFill="1" applyAlignment="1">
      <alignment horizontal="center" vertical="center"/>
    </xf>
    <xf numFmtId="44" fontId="0" fillId="7" borderId="0" xfId="3" applyFont="1" applyFill="1" applyAlignment="1">
      <alignment horizontal="center" vertical="center"/>
    </xf>
    <xf numFmtId="165" fontId="0" fillId="7" borderId="0" xfId="0" applyNumberFormat="1" applyFill="1" applyAlignment="1">
      <alignment horizontal="center"/>
    </xf>
    <xf numFmtId="9" fontId="0" fillId="7" borderId="0" xfId="0" applyNumberFormat="1" applyFill="1" applyAlignment="1">
      <alignment horizontal="center" vertical="center"/>
    </xf>
    <xf numFmtId="0" fontId="0" fillId="0" borderId="0" xfId="0" applyFont="1" applyFill="1" applyAlignment="1"/>
    <xf numFmtId="10" fontId="0" fillId="0" borderId="0" xfId="0" applyNumberFormat="1" applyFont="1" applyFill="1" applyAlignment="1"/>
    <xf numFmtId="10" fontId="0" fillId="0" borderId="0" xfId="2" applyNumberFormat="1" applyFont="1" applyAlignment="1">
      <alignment horizontal="center" vertical="center"/>
    </xf>
    <xf numFmtId="166" fontId="0" fillId="0" borderId="0" xfId="0" applyNumberFormat="1"/>
    <xf numFmtId="0" fontId="19" fillId="14" borderId="21" xfId="0" applyFont="1" applyFill="1" applyBorder="1" applyAlignment="1">
      <alignment horizontal="center" vertical="center"/>
    </xf>
    <xf numFmtId="168" fontId="9" fillId="15" borderId="22" xfId="0" applyNumberFormat="1" applyFont="1" applyFill="1" applyBorder="1" applyAlignment="1">
      <alignment horizontal="center" vertical="center"/>
    </xf>
    <xf numFmtId="0" fontId="0" fillId="0" borderId="0" xfId="0" applyAlignment="1"/>
    <xf numFmtId="0" fontId="19" fillId="16" borderId="22" xfId="0" applyFont="1" applyFill="1" applyBorder="1" applyAlignment="1">
      <alignment horizontal="center" vertical="center"/>
    </xf>
    <xf numFmtId="168" fontId="19" fillId="15" borderId="22" xfId="0" applyNumberFormat="1" applyFont="1" applyFill="1" applyBorder="1" applyAlignment="1">
      <alignment horizontal="center" vertical="center"/>
    </xf>
    <xf numFmtId="0" fontId="0" fillId="0" borderId="0" xfId="0" applyAlignment="1">
      <alignment vertical="center" wrapText="1"/>
    </xf>
    <xf numFmtId="10" fontId="0" fillId="0" borderId="0" xfId="2" applyNumberFormat="1" applyFont="1" applyAlignment="1">
      <alignment horizontal="center"/>
    </xf>
    <xf numFmtId="10" fontId="0" fillId="17" borderId="0" xfId="2" applyNumberFormat="1" applyFont="1" applyFill="1" applyAlignment="1">
      <alignment horizontal="center"/>
    </xf>
    <xf numFmtId="166" fontId="0" fillId="17" borderId="0" xfId="0" applyNumberFormat="1" applyFill="1" applyAlignment="1">
      <alignment horizontal="center"/>
    </xf>
    <xf numFmtId="10" fontId="0" fillId="0" borderId="0" xfId="0" applyNumberFormat="1" applyAlignment="1">
      <alignment horizontal="center"/>
    </xf>
    <xf numFmtId="0" fontId="0" fillId="17" borderId="0" xfId="0" applyFill="1" applyAlignment="1">
      <alignment horizontal="center"/>
    </xf>
    <xf numFmtId="10" fontId="0" fillId="17" borderId="0" xfId="2" applyNumberFormat="1" applyFont="1" applyFill="1" applyAlignment="1">
      <alignment horizontal="center" vertical="center"/>
    </xf>
    <xf numFmtId="166" fontId="0" fillId="17" borderId="0" xfId="0" applyNumberFormat="1" applyFill="1" applyAlignment="1">
      <alignment horizontal="center" vertical="center"/>
    </xf>
    <xf numFmtId="10" fontId="0" fillId="0" borderId="0" xfId="2" applyNumberFormat="1" applyFont="1" applyAlignment="1">
      <alignment horizontal="center"/>
    </xf>
    <xf numFmtId="0" fontId="9" fillId="14" borderId="21" xfId="0" applyFont="1" applyFill="1" applyBorder="1" applyAlignment="1">
      <alignment horizontal="left" vertical="center"/>
    </xf>
    <xf numFmtId="10" fontId="9" fillId="15" borderId="0" xfId="2" applyNumberFormat="1" applyFont="1" applyFill="1" applyBorder="1" applyAlignment="1" applyProtection="1">
      <alignment horizontal="center" vertical="center"/>
    </xf>
    <xf numFmtId="0" fontId="9" fillId="16" borderId="22" xfId="0" applyFont="1" applyFill="1" applyBorder="1" applyAlignment="1">
      <alignment horizontal="left" vertical="center"/>
    </xf>
    <xf numFmtId="168" fontId="9" fillId="15" borderId="0" xfId="0" applyNumberFormat="1" applyFont="1" applyFill="1" applyAlignment="1">
      <alignment horizontal="center" vertical="center"/>
    </xf>
    <xf numFmtId="169" fontId="9" fillId="15" borderId="0" xfId="0" applyNumberFormat="1" applyFont="1" applyFill="1" applyAlignment="1">
      <alignment horizontal="center" vertical="center"/>
    </xf>
    <xf numFmtId="0" fontId="0" fillId="0" borderId="0" xfId="0" applyNumberFormat="1" applyAlignment="1">
      <alignment horizontal="center"/>
    </xf>
    <xf numFmtId="0" fontId="12" fillId="10" borderId="0" xfId="0" applyFont="1" applyFill="1"/>
    <xf numFmtId="166" fontId="16" fillId="10" borderId="0" xfId="0" applyNumberFormat="1" applyFont="1" applyFill="1" applyAlignment="1">
      <alignment horizontal="center"/>
    </xf>
    <xf numFmtId="44" fontId="0" fillId="7" borderId="0" xfId="3" applyFont="1" applyFill="1" applyAlignment="1">
      <alignment horizontal="center"/>
    </xf>
    <xf numFmtId="2" fontId="0" fillId="7" borderId="0" xfId="0" applyNumberFormat="1" applyFill="1" applyAlignment="1">
      <alignment horizontal="center"/>
    </xf>
    <xf numFmtId="9" fontId="0" fillId="7" borderId="0" xfId="0" applyNumberFormat="1" applyFill="1" applyAlignment="1">
      <alignment horizontal="center"/>
    </xf>
    <xf numFmtId="10" fontId="0" fillId="0" borderId="0" xfId="0" applyNumberFormat="1"/>
    <xf numFmtId="10" fontId="0" fillId="7" borderId="0" xfId="2" applyNumberFormat="1" applyFont="1" applyFill="1" applyAlignment="1"/>
    <xf numFmtId="10" fontId="0" fillId="0" borderId="0" xfId="2" applyNumberFormat="1" applyFont="1" applyAlignment="1"/>
    <xf numFmtId="170" fontId="0" fillId="0" borderId="0" xfId="0" applyNumberFormat="1" applyAlignment="1"/>
    <xf numFmtId="0" fontId="13" fillId="0" borderId="0" xfId="0" applyFont="1" applyBorder="1" applyAlignment="1">
      <alignment horizontal="center" vertical="center"/>
    </xf>
    <xf numFmtId="0" fontId="13" fillId="0" borderId="0"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3" fillId="0" borderId="0" xfId="0" applyFont="1" applyBorder="1" applyAlignment="1">
      <alignment horizontal="center"/>
    </xf>
    <xf numFmtId="0" fontId="12" fillId="10" borderId="20" xfId="0" applyFont="1" applyFill="1" applyBorder="1" applyAlignment="1">
      <alignment horizontal="center"/>
    </xf>
    <xf numFmtId="0" fontId="13" fillId="0" borderId="0" xfId="0" applyFont="1" applyBorder="1" applyAlignment="1">
      <alignment horizontal="center" vertical="center"/>
    </xf>
    <xf numFmtId="0" fontId="12" fillId="10" borderId="0" xfId="0" applyFont="1" applyFill="1" applyAlignment="1">
      <alignment horizontal="center" wrapText="1"/>
    </xf>
    <xf numFmtId="0" fontId="12" fillId="10" borderId="0" xfId="0" applyFont="1" applyFill="1" applyAlignment="1">
      <alignment horizontal="center"/>
    </xf>
    <xf numFmtId="0" fontId="13" fillId="0" borderId="0" xfId="0" applyFont="1" applyAlignment="1">
      <alignment horizontal="center"/>
    </xf>
    <xf numFmtId="0" fontId="13" fillId="0" borderId="19" xfId="0" applyFont="1" applyBorder="1" applyAlignment="1">
      <alignment horizontal="center"/>
    </xf>
    <xf numFmtId="0" fontId="18" fillId="13" borderId="23" xfId="0" applyFont="1" applyFill="1" applyBorder="1" applyAlignment="1">
      <alignment horizontal="center" vertical="center"/>
    </xf>
    <xf numFmtId="0" fontId="18" fillId="13"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2" fillId="10" borderId="15" xfId="0" applyFont="1" applyFill="1" applyBorder="1" applyAlignment="1">
      <alignment horizontal="center"/>
    </xf>
    <xf numFmtId="0" fontId="12" fillId="10" borderId="16" xfId="0" applyFont="1" applyFill="1" applyBorder="1" applyAlignment="1">
      <alignment horizontal="center"/>
    </xf>
    <xf numFmtId="0" fontId="12" fillId="10" borderId="17" xfId="0" applyFont="1" applyFill="1" applyBorder="1" applyAlignment="1">
      <alignment horizontal="center"/>
    </xf>
    <xf numFmtId="0" fontId="12" fillId="10" borderId="8" xfId="0" applyFont="1" applyFill="1" applyBorder="1" applyAlignment="1">
      <alignment horizontal="center"/>
    </xf>
    <xf numFmtId="0" fontId="0" fillId="0" borderId="0" xfId="0" applyAlignment="1">
      <alignment horizontal="center"/>
    </xf>
    <xf numFmtId="0" fontId="7" fillId="0" borderId="0" xfId="0" applyFont="1" applyAlignment="1">
      <alignment horizontal="center"/>
    </xf>
    <xf numFmtId="44" fontId="5" fillId="0" borderId="24" xfId="3" applyNumberFormat="1" applyFont="1" applyFill="1" applyBorder="1" applyAlignment="1" applyProtection="1">
      <alignment horizontal="center"/>
    </xf>
    <xf numFmtId="44" fontId="5" fillId="0" borderId="25" xfId="3" applyNumberFormat="1" applyFont="1" applyFill="1" applyBorder="1" applyAlignment="1" applyProtection="1">
      <alignment horizontal="center"/>
    </xf>
    <xf numFmtId="44" fontId="5" fillId="0" borderId="26" xfId="3" applyNumberFormat="1" applyFont="1" applyFill="1" applyBorder="1" applyAlignment="1" applyProtection="1">
      <alignment horizontal="center"/>
    </xf>
    <xf numFmtId="0" fontId="6" fillId="4" borderId="24" xfId="1" applyNumberFormat="1" applyFont="1" applyFill="1" applyBorder="1" applyAlignment="1" applyProtection="1">
      <alignment horizontal="center" vertical="center"/>
    </xf>
    <xf numFmtId="0" fontId="6" fillId="4" borderId="26" xfId="1" applyNumberFormat="1" applyFont="1" applyFill="1" applyBorder="1" applyAlignment="1" applyProtection="1">
      <alignment horizontal="center" vertical="center"/>
    </xf>
    <xf numFmtId="44" fontId="5" fillId="0" borderId="24" xfId="3" applyNumberFormat="1" applyFont="1" applyFill="1" applyBorder="1" applyAlignment="1" applyProtection="1">
      <alignment horizontal="center" vertical="center"/>
    </xf>
    <xf numFmtId="44" fontId="5" fillId="0" borderId="25" xfId="3" applyNumberFormat="1" applyFont="1" applyFill="1" applyBorder="1" applyAlignment="1" applyProtection="1">
      <alignment horizontal="center" vertical="center"/>
    </xf>
    <xf numFmtId="44" fontId="5" fillId="0" borderId="26" xfId="3" applyNumberFormat="1" applyFont="1" applyFill="1" applyBorder="1" applyAlignment="1" applyProtection="1">
      <alignment horizontal="center" vertical="center"/>
    </xf>
    <xf numFmtId="0" fontId="5" fillId="0" borderId="24" xfId="4" applyFont="1" applyBorder="1" applyAlignment="1">
      <alignment horizontal="left"/>
    </xf>
    <xf numFmtId="0" fontId="5" fillId="0" borderId="25" xfId="4" applyFont="1" applyBorder="1" applyAlignment="1">
      <alignment horizontal="left"/>
    </xf>
    <xf numFmtId="0" fontId="5" fillId="0" borderId="26" xfId="4" applyFont="1" applyBorder="1" applyAlignment="1">
      <alignment horizontal="left"/>
    </xf>
    <xf numFmtId="44" fontId="3" fillId="0" borderId="24" xfId="4" applyNumberFormat="1" applyFont="1" applyBorder="1" applyAlignment="1">
      <alignment horizontal="center"/>
    </xf>
    <xf numFmtId="44" fontId="3" fillId="0" borderId="26" xfId="4" applyNumberFormat="1" applyFont="1" applyBorder="1" applyAlignment="1">
      <alignment horizontal="center"/>
    </xf>
    <xf numFmtId="0" fontId="3" fillId="0" borderId="24" xfId="4" applyFont="1" applyBorder="1" applyAlignment="1">
      <alignment horizontal="center"/>
    </xf>
    <xf numFmtId="0" fontId="3" fillId="0" borderId="26" xfId="4" applyFont="1" applyBorder="1" applyAlignment="1">
      <alignment horizontal="center"/>
    </xf>
    <xf numFmtId="0" fontId="3" fillId="0" borderId="24" xfId="4" applyFont="1" applyBorder="1" applyAlignment="1">
      <alignment horizontal="left"/>
    </xf>
    <xf numFmtId="0" fontId="3" fillId="0" borderId="25" xfId="4" applyFont="1" applyBorder="1" applyAlignment="1">
      <alignment horizontal="left"/>
    </xf>
    <xf numFmtId="0" fontId="3" fillId="0" borderId="26" xfId="4" applyFont="1" applyBorder="1" applyAlignment="1">
      <alignment horizontal="left"/>
    </xf>
    <xf numFmtId="0" fontId="3" fillId="0" borderId="2" xfId="4" applyFont="1" applyBorder="1" applyAlignment="1">
      <alignment horizontal="left"/>
    </xf>
    <xf numFmtId="0" fontId="3" fillId="0" borderId="2" xfId="4" applyFont="1" applyBorder="1" applyAlignment="1">
      <alignment horizontal="center"/>
    </xf>
    <xf numFmtId="44" fontId="3" fillId="0" borderId="2" xfId="4" applyNumberFormat="1" applyFont="1" applyBorder="1" applyAlignment="1">
      <alignment horizontal="center"/>
    </xf>
    <xf numFmtId="0" fontId="2" fillId="3" borderId="2" xfId="4" applyFont="1" applyFill="1" applyBorder="1" applyAlignment="1">
      <alignment horizontal="center" vertical="center"/>
    </xf>
    <xf numFmtId="44" fontId="2" fillId="3" borderId="2" xfId="4" applyNumberFormat="1" applyFont="1" applyFill="1" applyBorder="1" applyAlignment="1">
      <alignment horizontal="center" vertical="center"/>
    </xf>
    <xf numFmtId="0" fontId="1" fillId="0" borderId="1" xfId="4" applyFont="1" applyBorder="1" applyAlignment="1">
      <alignment horizontal="center"/>
    </xf>
    <xf numFmtId="0" fontId="2" fillId="2" borderId="3" xfId="4" applyFont="1" applyFill="1" applyBorder="1" applyAlignment="1">
      <alignment horizontal="center" vertical="center"/>
    </xf>
    <xf numFmtId="0" fontId="2" fillId="2" borderId="4" xfId="4" applyFont="1" applyFill="1" applyBorder="1" applyAlignment="1">
      <alignment horizontal="center" vertical="center"/>
    </xf>
    <xf numFmtId="0" fontId="2" fillId="2" borderId="5" xfId="4" applyFont="1" applyFill="1" applyBorder="1" applyAlignment="1">
      <alignment horizontal="center" vertical="center"/>
    </xf>
    <xf numFmtId="0" fontId="2" fillId="2" borderId="2" xfId="4" applyFont="1" applyFill="1" applyBorder="1" applyAlignment="1">
      <alignment horizontal="center" vertical="center"/>
    </xf>
    <xf numFmtId="0" fontId="4" fillId="0" borderId="0" xfId="0" applyFont="1" applyAlignment="1">
      <alignment horizontal="center"/>
    </xf>
    <xf numFmtId="0" fontId="2" fillId="0" borderId="1" xfId="4" applyFont="1" applyFill="1" applyBorder="1" applyAlignment="1">
      <alignment horizontal="center" vertical="center"/>
    </xf>
    <xf numFmtId="165" fontId="2" fillId="2" borderId="3" xfId="4" applyNumberFormat="1" applyFont="1" applyFill="1" applyBorder="1" applyAlignment="1">
      <alignment horizontal="center" vertical="center"/>
    </xf>
    <xf numFmtId="0" fontId="5" fillId="0" borderId="2" xfId="4" applyFont="1" applyBorder="1" applyAlignment="1">
      <alignment horizontal="left"/>
    </xf>
    <xf numFmtId="44" fontId="5" fillId="0" borderId="2" xfId="3" applyNumberFormat="1" applyFont="1" applyFill="1" applyBorder="1" applyAlignment="1" applyProtection="1">
      <alignment horizontal="center" vertical="center"/>
    </xf>
    <xf numFmtId="0" fontId="6" fillId="4" borderId="2" xfId="1" applyNumberFormat="1" applyFont="1" applyFill="1" applyBorder="1" applyAlignment="1" applyProtection="1">
      <alignment horizontal="center" vertical="center"/>
    </xf>
    <xf numFmtId="44" fontId="5" fillId="0" borderId="2" xfId="3" applyNumberFormat="1" applyFont="1" applyFill="1" applyBorder="1" applyAlignment="1" applyProtection="1">
      <alignment horizontal="center"/>
    </xf>
    <xf numFmtId="0" fontId="2" fillId="2" borderId="5" xfId="4" applyFont="1" applyFill="1" applyBorder="1" applyAlignment="1">
      <alignment horizontal="center" vertical="center" wrapText="1"/>
    </xf>
  </cellXfs>
  <cellStyles count="5">
    <cellStyle name="Excel Built-in Normal" xfId="4"/>
    <cellStyle name="Moeda" xfId="3" builtinId="4"/>
    <cellStyle name="Normal" xfId="0" builtinId="0"/>
    <cellStyle name="Porcentagem" xfId="2" builtinId="5"/>
    <cellStyle name="Vírgula" xfId="1" builtinId="3"/>
  </cellStyles>
  <dxfs count="416">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0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0"/>
        <name val="Calibri"/>
        <scheme val="none"/>
      </font>
    </dxf>
    <dxf>
      <numFmt numFmtId="166" formatCode="&quot;R$&quot;\ #,##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quot;R$&quot;\ #,##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z val="11"/>
        <name val="Calibri"/>
        <scheme val="none"/>
      </font>
      <numFmt numFmtId="2" formatCode="0.00"/>
      <alignment horizontal="center" vertical="center"/>
    </dxf>
    <dxf>
      <numFmt numFmtId="166" formatCode="&quot;R$&quot;\ #,##0.00"/>
      <alignment horizontal="center" vertical="center"/>
    </dxf>
    <dxf>
      <font>
        <sz val="11"/>
        <name val="Calibri"/>
        <scheme val="none"/>
      </font>
      <numFmt numFmtId="2" formatCode="0.00"/>
      <alignment horizontal="center" vertical="center"/>
    </dxf>
    <dxf>
      <font>
        <sz val="11"/>
        <name val="Calibri"/>
        <scheme val="none"/>
      </font>
      <alignment horizontal="center" vertical="center"/>
    </dxf>
    <dxf>
      <font>
        <sz val="11"/>
        <name val="Calibri"/>
        <scheme val="none"/>
      </font>
      <fill>
        <patternFill patternType="solid">
          <bgColor theme="5" tint="0.39994506668294322"/>
        </patternFill>
      </fill>
      <alignment horizontal="center" vertical="center"/>
    </dxf>
    <dxf>
      <font>
        <sz val="11"/>
        <name val="Calibri"/>
        <scheme val="none"/>
      </font>
      <alignment horizontal="center" vertical="center"/>
    </dxf>
    <dxf>
      <font>
        <sz val="11"/>
        <name val="Calibri"/>
        <scheme val="none"/>
      </font>
      <alignment horizontal="center" vertical="center"/>
    </dxf>
    <dxf>
      <font>
        <sz val="11"/>
        <name val="Calibri"/>
        <scheme val="none"/>
      </font>
      <alignment horizontal="center" vertical="center"/>
    </dxf>
    <dxf>
      <font>
        <sz val="11"/>
        <name val="Calibri"/>
        <scheme val="none"/>
      </font>
      <alignment horizontal="center" vertical="center"/>
    </dxf>
    <dxf>
      <font>
        <sz val="11"/>
        <name val="Calibri"/>
        <scheme val="none"/>
      </font>
      <alignment horizontal="center" vertical="center"/>
    </dxf>
    <dxf>
      <font>
        <sz val="11"/>
        <name val="Calibri"/>
        <scheme val="none"/>
      </font>
      <alignment horizontal="center" vertical="center" wrapText="1"/>
    </dxf>
    <dxf>
      <font>
        <sz val="11"/>
        <name val="Calibri"/>
        <scheme val="none"/>
      </font>
      <alignment vertical="center" wrapText="1"/>
    </dxf>
    <dxf>
      <font>
        <b val="0"/>
        <i val="0"/>
        <strike val="0"/>
        <u val="none"/>
        <sz val="11"/>
        <color rgb="FF000000"/>
        <name val="Calibri"/>
        <scheme val="none"/>
      </font>
      <alignment vertical="center"/>
    </dxf>
    <dxf>
      <font>
        <b val="0"/>
        <i val="0"/>
        <strike val="0"/>
        <u val="none"/>
        <sz val="11"/>
        <color theme="1"/>
        <name val="Calibri"/>
        <scheme val="none"/>
      </font>
    </dxf>
    <dxf>
      <numFmt numFmtId="166" formatCode="&quot;R$&quot;\ #,##0.00"/>
      <alignment horizontal="center" vertical="center"/>
    </dxf>
    <dxf>
      <alignment wrapText="1"/>
    </dxf>
    <dxf>
      <numFmt numFmtId="166" formatCode="&quot;R$&quot;\ #,##0.00"/>
      <alignment horizontal="center" vertical="center"/>
    </dxf>
    <dxf>
      <numFmt numFmtId="166" formatCode="&quot;R$&quot;\ #,##0.00"/>
      <alignment horizontal="center" vertical="center"/>
    </dxf>
    <dxf>
      <numFmt numFmtId="1" formatCode="0"/>
      <fill>
        <patternFill patternType="solid">
          <bgColor theme="5" tint="0.39994506668294322"/>
        </patternFill>
      </fill>
      <alignment horizontal="center" vertical="center"/>
    </dxf>
    <dxf>
      <numFmt numFmtId="166" formatCode="&quot;R$&quot;\ #,##0.00"/>
      <fill>
        <patternFill patternType="solid">
          <bgColor theme="5" tint="0.39994506668294322"/>
        </patternFill>
      </fill>
      <alignment horizontal="center" vertical="center"/>
    </dxf>
    <dxf>
      <numFmt numFmtId="166" formatCode="&quot;R$&quot;\ #,##0.00"/>
      <alignment horizontal="center" vertical="center"/>
    </dxf>
    <dxf>
      <alignment horizontal="justify" vertical="center" wrapText="1"/>
    </dxf>
    <dxf>
      <alignment horizontal="center" vertical="center"/>
    </dxf>
    <dxf>
      <fill>
        <patternFill patternType="solid">
          <bgColor theme="5" tint="0.39994506668294322"/>
        </patternFill>
      </fill>
      <alignment horizontal="center" vertical="center"/>
    </dxf>
    <dxf>
      <numFmt numFmtId="165" formatCode="&quot;R$&quot;\ #,##0.00_);[Red]\(&quot;R$&quot;\ #,##0.00\)"/>
      <fill>
        <patternFill patternType="solid">
          <bgColor theme="5" tint="0.39994506668294322"/>
        </patternFill>
      </fill>
      <alignment horizontal="center" vertical="center"/>
    </dxf>
    <dxf>
      <alignment horizontal="center" vertical="center"/>
    </dxf>
    <dxf>
      <alignment horizontal="justify" wrapText="1"/>
    </dxf>
    <dxf>
      <alignment horizontal="center" vertical="center"/>
    </dxf>
    <dxf>
      <alignment horizontal="center" vertical="center"/>
    </dxf>
    <dxf>
      <alignment horizontal="center" vertical="center"/>
    </dxf>
    <dxf>
      <alignment horizontal="center" vertical="center"/>
    </dxf>
    <dxf>
      <alignment horizontal="center" vertical="center"/>
    </dxf>
    <dxf>
      <alignment horizontal="justify" vertical="center"/>
    </dxf>
    <dxf>
      <alignment horizontal="center" vertical="center"/>
    </dxf>
    <dxf>
      <alignment horizontal="center" vertical="center"/>
    </dxf>
    <dxf>
      <numFmt numFmtId="166" formatCode="&quot;R$&quot;\ #,##0.00"/>
      <alignment horizontal="center"/>
    </dxf>
    <dxf>
      <fill>
        <patternFill patternType="solid">
          <bgColor theme="5" tint="0.39994506668294322"/>
        </patternFill>
      </fill>
      <alignment horizontal="center"/>
    </dxf>
    <dxf>
      <numFmt numFmtId="166" formatCode="&quot;R$&quot;\ #,##0.00"/>
      <fill>
        <patternFill patternType="solid">
          <bgColor theme="5" tint="0.39994506668294322"/>
        </patternFill>
      </fill>
      <alignment horizontal="center"/>
    </dxf>
    <dxf>
      <alignment horizontal="center" vertical="center"/>
    </dxf>
    <dxf>
      <alignment horizontal="justify"/>
    </dxf>
    <dxf>
      <numFmt numFmtId="166" formatCode="&quot;R$&quot;\ #,##0.00"/>
      <alignment horizontal="center" vertical="center"/>
    </dxf>
    <dxf>
      <numFmt numFmtId="166" formatCode="&quot;R$&quot;\ #,##0.00"/>
      <alignment horizontal="center" vertical="center"/>
    </dxf>
    <dxf>
      <numFmt numFmtId="166" formatCode="&quot;R$&quot;\ #,##0.00"/>
      <alignment horizontal="center" wrapText="1"/>
    </dxf>
    <dxf>
      <numFmt numFmtId="166" formatCode="&quot;R$&quot;\ #,##0.00"/>
      <alignment horizontal="center" wrapText="1"/>
    </dxf>
    <dxf>
      <fill>
        <patternFill patternType="solid">
          <bgColor theme="5" tint="0.39994506668294322"/>
        </patternFill>
      </fill>
      <alignment horizontal="center" wrapText="1"/>
    </dxf>
    <dxf>
      <numFmt numFmtId="166" formatCode="&quot;R$&quot;\ #,##0.00"/>
      <fill>
        <patternFill patternType="solid">
          <bgColor theme="5" tint="0.39994506668294322"/>
        </patternFill>
      </fill>
      <alignment horizontal="center" wrapText="1"/>
    </dxf>
    <dxf>
      <alignment wrapText="1"/>
    </dxf>
    <dxf>
      <alignment wrapText="1"/>
    </dxf>
    <dxf>
      <alignment horizontal="center" wrapText="1"/>
    </dxf>
    <dxf>
      <numFmt numFmtId="166" formatCode="&quot;R$&quot;\ #,##0.00"/>
      <alignment horizontal="center" vertical="center" wrapText="1"/>
    </dxf>
    <dxf>
      <fill>
        <patternFill patternType="solid">
          <bgColor theme="5" tint="0.39994506668294322"/>
        </patternFill>
      </fill>
      <alignment horizontal="center" vertical="center" wrapText="1"/>
    </dxf>
    <dxf>
      <numFmt numFmtId="166" formatCode="&quot;R$&quot;\ #,##0.00"/>
      <fill>
        <patternFill patternType="solid">
          <bgColor theme="5" tint="0.39994506668294322"/>
        </patternFill>
      </fill>
      <alignment horizontal="center" vertical="center" wrapText="1"/>
    </dxf>
    <dxf>
      <alignment horizontal="center" vertical="center"/>
    </dxf>
    <dxf>
      <alignment horizontal="justify" vertical="center" wrapText="1"/>
    </dxf>
    <dxf>
      <alignment horizontal="center" vertical="center" wrapText="1"/>
    </dxf>
    <dxf>
      <alignment horizontal="center" vertical="center"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70" formatCode="&quot;R$&quot;#,##0.00"/>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left" vertical="center" wrapText="1"/>
    </dxf>
    <dxf>
      <alignment horizontal="left" vertical="center" wrapText="1"/>
    </dxf>
    <dxf>
      <alignment horizontal="left" vertical="center" wrapText="1"/>
    </dxf>
    <dxf>
      <alignment horizontal="center" vertical="center"/>
    </dxf>
    <dxf>
      <alignment horizontal="left" vertical="center" wrapText="1"/>
    </dxf>
    <dxf>
      <alignment horizontal="center" vertical="center" wrapText="1"/>
    </dxf>
    <dxf>
      <alignment horizontal="left" vertical="center"/>
    </dxf>
    <dxf>
      <alignment horizontal="center" vertical="center"/>
    </dxf>
    <dxf>
      <numFmt numFmtId="14" formatCode="0.00%"/>
    </dxf>
    <dxf>
      <numFmt numFmtId="14" formatCode="0.00%"/>
    </dxf>
    <dxf>
      <numFmt numFmtId="166" formatCode="&quot;R$&quot;\ #,##0.00"/>
      <alignment horizontal="center" vertical="center"/>
    </dxf>
    <dxf>
      <fill>
        <patternFill patternType="solid">
          <bgColor theme="5" tint="0.39994506668294322"/>
        </patternFill>
      </fill>
    </dxf>
    <dxf>
      <numFmt numFmtId="166" formatCode="&quot;R$&quot;\ #,##0.00"/>
      <alignment horizontal="center" vertic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numFmt numFmtId="166" formatCode="&quot;R$&quot;\ #,##0.00"/>
      <alignment horizontal="center" vertical="center"/>
    </dxf>
    <dxf>
      <numFmt numFmtId="14" formatCode="0.00%"/>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alignment horizontal="center"/>
    </dxf>
    <dxf>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numFmt numFmtId="14" formatCode="0.00%"/>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alignment horizontal="center"/>
    </dxf>
    <dxf>
      <alignment horizontal="center"/>
    </dxf>
    <dxf>
      <numFmt numFmtId="166" formatCode="&quot;R$&quot;\ #,##0.00"/>
      <alignment horizontal="center"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alignment horizontal="center" vertic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alignment horizontal="center"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4" formatCode="0.00%"/>
    </dxf>
    <dxf>
      <alignment horizontal="center"/>
    </dxf>
    <dxf>
      <alignment horizontal="center"/>
    </dxf>
    <dxf>
      <numFmt numFmtId="170" formatCode="&quot;R$&quot;#,##0.00"/>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center" vertical="center"/>
    </dxf>
    <dxf>
      <alignment horizontal="center" vertical="center" wrapText="1"/>
    </dxf>
    <dxf>
      <alignment horizontal="left" vertical="center"/>
    </dxf>
    <dxf>
      <alignment horizontal="center" vertical="center"/>
    </dxf>
    <dxf>
      <alignment horizontal="left" vertical="center" wrapText="1"/>
    </dxf>
    <dxf>
      <alignment horizontal="left" vertical="center" wrapText="1"/>
    </dxf>
    <dxf>
      <alignment horizontal="left" vertical="center" wrapText="1"/>
    </dxf>
    <dxf>
      <alignment horizontal="center" vertical="center"/>
    </dxf>
    <dxf>
      <alignment horizontal="left" vertical="center" wrapText="1"/>
    </dxf>
    <dxf>
      <alignment horizontal="center" vertical="center" wrapText="1"/>
    </dxf>
    <dxf>
      <alignment horizontal="left" vertical="center"/>
    </dxf>
    <dxf>
      <alignment horizontal="center" vertical="center"/>
    </dxf>
    <dxf>
      <numFmt numFmtId="14" formatCode="0.00%"/>
    </dxf>
    <dxf>
      <numFmt numFmtId="14" formatCode="0.00%"/>
    </dxf>
    <dxf>
      <numFmt numFmtId="166" formatCode="&quot;R$&quot;\ #,##0.00"/>
      <alignment horizontal="center" vertical="center"/>
    </dxf>
    <dxf>
      <fill>
        <patternFill patternType="solid">
          <bgColor theme="5" tint="0.39994506668294322"/>
        </patternFill>
      </fill>
    </dxf>
    <dxf>
      <numFmt numFmtId="166" formatCode="&quot;R$&quot;\ #,##0.00"/>
      <alignment horizontal="center" vertic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numFmt numFmtId="166" formatCode="&quot;R$&quot;\ #,##0.00"/>
      <alignment horizontal="center" vertical="center"/>
    </dxf>
    <dxf>
      <numFmt numFmtId="14" formatCode="0.00%"/>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alignment horizontal="center"/>
    </dxf>
    <dxf>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numFmt numFmtId="14" formatCode="0.00%"/>
      <alignment horizontal="center"/>
    </dxf>
    <dxf>
      <numFmt numFmtId="166" formatCode="&quot;R$&quot;\ #,##0.00"/>
      <alignment horizontal="center" vertical="center"/>
    </dxf>
    <dxf>
      <alignment horizontal="center"/>
    </dxf>
    <dxf>
      <numFmt numFmtId="166" formatCode="&quot;R$&quot;\ #,##0.00"/>
      <alignment horizontal="center"/>
    </dxf>
    <dxf>
      <numFmt numFmtId="166" formatCode="&quot;R$&quot;\ #,##0.00"/>
      <alignment horizontal="center" vertical="center"/>
    </dxf>
    <dxf>
      <numFmt numFmtId="166" formatCode="&quot;R$&quot;\ #,##0.00"/>
      <alignment horizontal="center" vertical="center"/>
    </dxf>
    <dxf>
      <alignment horizontal="center"/>
    </dxf>
    <dxf>
      <numFmt numFmtId="166" formatCode="&quot;R$&quot;\ #,##0.00"/>
      <alignment horizontal="center"/>
    </dxf>
    <dxf>
      <alignment horizontal="center"/>
    </dxf>
    <dxf>
      <numFmt numFmtId="166" formatCode="&quot;R$&quot;\ #,##0.00"/>
      <alignment horizontal="center" vertical="center"/>
    </dxf>
    <dxf>
      <alignment horizontal="center"/>
    </dxf>
    <dxf>
      <alignment horizontal="center"/>
    </dxf>
    <dxf>
      <alignment horizontal="center"/>
    </dxf>
    <dxf>
      <numFmt numFmtId="166" formatCode="&quot;R$&quot;\ #,##0.00"/>
      <alignment horizontal="center" vertical="center"/>
    </dxf>
    <dxf>
      <alignment horizontal="center"/>
    </dxf>
    <dxf>
      <border>
        <vertical/>
        <horizontal style="thin">
          <color auto="1"/>
        </horizontal>
      </border>
    </dxf>
    <dxf>
      <border>
        <vertical/>
        <horizontal style="thin">
          <color auto="1"/>
        </horizontal>
      </border>
    </dxf>
  </dxfs>
  <tableStyles count="1" defaultTableStyle="TableStyleMedium2" defaultPivotStyle="PivotStyleLight16">
    <tableStyle name="Table Style 1" pivot="0" count="2">
      <tableStyleElement type="firstRowStripe" dxfId="415"/>
      <tableStyleElement type="firstHeaderCell" dxfId="4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s>
</file>

<file path=xl/tables/table1.xml><?xml version="1.0" encoding="utf-8"?>
<table xmlns="http://schemas.openxmlformats.org/spreadsheetml/2006/main" id="51" name="Table4252" displayName="Table4252" ref="A2:D7" totalsRowShown="0">
  <tableColumns count="4">
    <tableColumn id="1" name="Item" dataDxfId="413"/>
    <tableColumn id="2" name="Descrição" dataDxfId="412"/>
    <tableColumn id="3" name="Comentário" dataDxfId="411"/>
    <tableColumn id="4" name="Valor" dataDxfId="410"/>
  </tableColumns>
  <tableStyleInfo name="TableStyleMedium14" showFirstColumn="0" showLastColumn="0" showRowStripes="1" showColumnStripes="0"/>
</table>
</file>

<file path=xl/tables/table10.xml><?xml version="1.0" encoding="utf-8"?>
<table xmlns="http://schemas.openxmlformats.org/spreadsheetml/2006/main" id="60" name="ResumoMódulo427" displayName="ResumoMódulo427" ref="A110:D113" totalsRowCount="1">
  <autoFilter ref="A110:D112">
    <filterColumn colId="0" hiddenButton="1"/>
    <filterColumn colId="1" hiddenButton="1"/>
    <filterColumn colId="2" hiddenButton="1"/>
    <filterColumn colId="3" hiddenButton="1"/>
  </autoFilter>
  <tableColumns count="4">
    <tableColumn id="1" name="4" totalsRowLabel="Total" dataDxfId="377"/>
    <tableColumn id="2" name="Custo de Reposição do Profissional Ausente" dataDxfId="376"/>
    <tableColumn id="3" name="Comentário" dataDxfId="375"/>
    <tableColumn id="4" name="Valor" totalsRowFunction="sum" dataDxfId="374">
      <calculatedColumnFormula>Submódulo4.226[[#Totals],[Valor]]</calculatedColumnFormula>
    </tableColumn>
  </tableColumns>
  <tableStyleInfo name="TableStyleMedium14" showFirstColumn="0" showLastColumn="0" showRowStripes="1" showColumnStripes="0"/>
</table>
</file>

<file path=xl/tables/table11.xml><?xml version="1.0" encoding="utf-8"?>
<table xmlns="http://schemas.openxmlformats.org/spreadsheetml/2006/main" id="61" name="Módulo528" displayName="Módulo528" ref="A116:D121" totalsRowCount="1">
  <autoFilter ref="A116:D120">
    <filterColumn colId="0" hiddenButton="1"/>
    <filterColumn colId="1" hiddenButton="1"/>
    <filterColumn colId="2" hiddenButton="1"/>
    <filterColumn colId="3" hiddenButton="1"/>
  </autoFilter>
  <tableColumns count="4">
    <tableColumn id="1" name="5" totalsRowLabel="Total" dataDxfId="373"/>
    <tableColumn id="2" name="Insumos Diversos" dataDxfId="372"/>
    <tableColumn id="3" name="Comentário" dataDxfId="371"/>
    <tableColumn id="4" name="Valor" totalsRowFunction="sum" dataDxfId="370">
      <calculatedColumnFormula>Table328[[#Totals],[Qte ajustada]]</calculatedColumnFormula>
    </tableColumn>
  </tableColumns>
  <tableStyleInfo name="TableStyleMedium14" showFirstColumn="0" showLastColumn="0" showRowStripes="1" showColumnStripes="0"/>
</table>
</file>

<file path=xl/tables/table12.xml><?xml version="1.0" encoding="utf-8"?>
<table xmlns="http://schemas.openxmlformats.org/spreadsheetml/2006/main" id="62" name="Módulo629" displayName="Módulo629" ref="A131:D138" totalsRowCount="1">
  <tableColumns count="4">
    <tableColumn id="1" name="6" totalsRowLabel="Total" dataDxfId="369"/>
    <tableColumn id="2" name="Custos Indiretos, Tributos e Lucro" dataDxfId="368"/>
    <tableColumn id="3" name="Percentual" dataDxfId="367">
      <calculatedColumnFormula>G15</calculatedColumnFormula>
    </tableColumn>
    <tableColumn id="4" name="Valor" totalsRowFunction="custom">
      <calculatedColumnFormula>Módulo629[[#This Row],[Percentual]]*D145</calculatedColumnFormula>
      <totalsRowFormula>SUM(D132:D134)</totalsRowFormula>
    </tableColumn>
  </tableColumns>
  <tableStyleInfo name="TableStyleMedium14" showFirstColumn="0" showLastColumn="0" showRowStripes="1" showColumnStripes="0"/>
</table>
</file>

<file path=xl/tables/table13.xml><?xml version="1.0" encoding="utf-8"?>
<table xmlns="http://schemas.openxmlformats.org/spreadsheetml/2006/main" id="63" name="ResumoPosto30" displayName="ResumoPosto30" ref="A142:D150">
  <autoFilter ref="A142:D150">
    <filterColumn colId="0" hiddenButton="1"/>
    <filterColumn colId="1" hiddenButton="1"/>
    <filterColumn colId="2" hiddenButton="1"/>
    <filterColumn colId="3" hiddenButton="1"/>
  </autoFilter>
  <tableColumns count="4">
    <tableColumn id="1" name="Item" totalsRowLabel="Total" dataDxfId="366"/>
    <tableColumn id="2" name="Mão de obra vinculada à execução contratual" dataDxfId="365"/>
    <tableColumn id="3" name="-" dataDxfId="364"/>
    <tableColumn id="4" name="Valor" totalsRowFunction="sum" dataDxfId="363">
      <calculatedColumnFormula>(SUM(D136:D140)+D125+D126)/(100%-C127)</calculatedColumnFormula>
    </tableColumn>
  </tableColumns>
  <tableStyleInfo name="TableStyleMedium14" showFirstColumn="0" showLastColumn="0" showRowStripes="1" showColumnStripes="0"/>
</table>
</file>

<file path=xl/tables/table14.xml><?xml version="1.0" encoding="utf-8"?>
<table xmlns="http://schemas.openxmlformats.org/spreadsheetml/2006/main" id="64" name="DadosGerais31" displayName="DadosGerais31" ref="F2:G6" totalsRowShown="0">
  <autoFilter ref="F2:G6">
    <filterColumn colId="0" hiddenButton="1"/>
    <filterColumn colId="1" hiddenButton="1"/>
  </autoFilter>
  <tableColumns count="2">
    <tableColumn id="1" name="Descrição" dataDxfId="362"/>
    <tableColumn id="2" name="Valor" dataDxfId="361"/>
  </tableColumns>
  <tableStyleInfo name="TableStyleMedium14" showFirstColumn="0" showLastColumn="0" showRowStripes="1" showColumnStripes="0"/>
</table>
</file>

<file path=xl/tables/table15.xml><?xml version="1.0" encoding="utf-8"?>
<table xmlns="http://schemas.openxmlformats.org/spreadsheetml/2006/main" id="65" name="DadosDesligamento32" displayName="DadosDesligamento32" ref="F9:G12" totalsRowShown="0">
  <autoFilter ref="F9:G12">
    <filterColumn colId="0" hiddenButton="1"/>
    <filterColumn colId="1" hiddenButton="1"/>
  </autoFilter>
  <tableColumns count="2">
    <tableColumn id="1" name="Tipos" dataDxfId="360"/>
    <tableColumn id="2" name="Percentual" dataDxfId="359"/>
  </tableColumns>
  <tableStyleInfo name="TableStyleMedium14" showFirstColumn="0" showLastColumn="0" showRowStripes="1" showColumnStripes="0"/>
</table>
</file>

<file path=xl/tables/table16.xml><?xml version="1.0" encoding="utf-8"?>
<table xmlns="http://schemas.openxmlformats.org/spreadsheetml/2006/main" id="66" name="CITL33" displayName="CITL33" ref="F15:G20" totalsRowShown="0">
  <autoFilter ref="F15:G20">
    <filterColumn colId="0" hiddenButton="1"/>
    <filterColumn colId="1" hiddenButton="1"/>
  </autoFilter>
  <tableColumns count="2">
    <tableColumn id="1" name="Descrição"/>
    <tableColumn id="2" name="Percentual" dataDxfId="358"/>
  </tableColumns>
  <tableStyleInfo name="TableStyleMedium14" showFirstColumn="0" showLastColumn="0" showRowStripes="1" showColumnStripes="0"/>
</table>
</file>

<file path=xl/tables/table17.xml><?xml version="1.0" encoding="utf-8"?>
<table xmlns="http://schemas.openxmlformats.org/spreadsheetml/2006/main" id="67" name="Table868" displayName="Table868" ref="A27:D29" totalsRowShown="0">
  <autoFilter ref="A27:D29">
    <filterColumn colId="0" hiddenButton="1"/>
    <filterColumn colId="1" hiddenButton="1"/>
    <filterColumn colId="2" hiddenButton="1"/>
    <filterColumn colId="3" hiddenButton="1"/>
  </autoFilter>
  <tableColumns count="4">
    <tableColumn id="1" name="Item" dataDxfId="357"/>
    <tableColumn id="2" name="Rubrica" dataDxfId="356"/>
    <tableColumn id="3" name="Base de Cálculo" dataDxfId="355"/>
    <tableColumn id="4" name="Memória de Cálculo" dataDxfId="354"/>
  </tableColumns>
  <tableStyleInfo name="TableStyleLight18" showFirstColumn="0" showLastColumn="0" showRowStripes="1" showColumnStripes="0"/>
</table>
</file>

<file path=xl/tables/table18.xml><?xml version="1.0" encoding="utf-8"?>
<table xmlns="http://schemas.openxmlformats.org/spreadsheetml/2006/main" id="68" name="Table83969" displayName="Table83969" ref="A44:D45" totalsRowShown="0">
  <autoFilter ref="A44:D45">
    <filterColumn colId="0" hiddenButton="1"/>
    <filterColumn colId="1" hiddenButton="1"/>
    <filterColumn colId="2" hiddenButton="1"/>
    <filterColumn colId="3" hiddenButton="1"/>
  </autoFilter>
  <tableColumns count="4">
    <tableColumn id="1" name="Item" dataDxfId="353"/>
    <tableColumn id="2" name="Rubrica" dataDxfId="352"/>
    <tableColumn id="3" name="Base de Cálculo" dataDxfId="351"/>
    <tableColumn id="4" name="Memória de Cálculo" dataDxfId="350"/>
  </tableColumns>
  <tableStyleInfo name="TableStyleLight18" showFirstColumn="0" showLastColumn="0" showRowStripes="1" showColumnStripes="0"/>
</table>
</file>

<file path=xl/tables/table19.xml><?xml version="1.0" encoding="utf-8"?>
<table xmlns="http://schemas.openxmlformats.org/spreadsheetml/2006/main" id="69" name="Table84270" displayName="Table84270" ref="A57:D59" totalsRowShown="0">
  <autoFilter ref="A57:D59">
    <filterColumn colId="0" hiddenButton="1"/>
    <filterColumn colId="1" hiddenButton="1"/>
    <filterColumn colId="2" hiddenButton="1"/>
    <filterColumn colId="3" hiddenButton="1"/>
  </autoFilter>
  <tableColumns count="4">
    <tableColumn id="1" name="Item" dataDxfId="349"/>
    <tableColumn id="2" name="Rubrica" dataDxfId="348"/>
    <tableColumn id="3" name="Base de Cálculo" dataDxfId="347"/>
    <tableColumn id="4" name="Memória de Cálculo" dataDxfId="346"/>
  </tableColumns>
  <tableStyleInfo name="TableStyleLight18" showFirstColumn="0" showLastColumn="0" showRowStripes="1" showColumnStripes="0"/>
</table>
</file>

<file path=xl/tables/table2.xml><?xml version="1.0" encoding="utf-8"?>
<table xmlns="http://schemas.openxmlformats.org/spreadsheetml/2006/main" id="52" name="Módulo13" displayName="Módulo13" ref="A10:D17" totalsRowCount="1">
  <autoFilter ref="A10:D16">
    <filterColumn colId="0" hiddenButton="1"/>
    <filterColumn colId="1" hiddenButton="1"/>
    <filterColumn colId="2" hiddenButton="1"/>
    <filterColumn colId="3" hiddenButton="1"/>
  </autoFilter>
  <tableColumns count="4">
    <tableColumn id="1" name="1" totalsRowLabel="Total" dataDxfId="409"/>
    <tableColumn id="2" name="Composição da Remuneração" dataDxfId="408"/>
    <tableColumn id="3" name="Comentário" dataDxfId="407"/>
    <tableColumn id="4" name="Valor" totalsRowFunction="sum" dataDxfId="406"/>
  </tableColumns>
  <tableStyleInfo name="TableStyleMedium14" showFirstColumn="0" showLastColumn="0" showRowStripes="1" showColumnStripes="0"/>
</table>
</file>

<file path=xl/tables/table20.xml><?xml version="1.0" encoding="utf-8"?>
<table xmlns="http://schemas.openxmlformats.org/spreadsheetml/2006/main" id="70" name="Table8423771" displayName="Table8423771" ref="A79:D85" totalsRowShown="0">
  <autoFilter ref="A79:D85">
    <filterColumn colId="0" hiddenButton="1"/>
    <filterColumn colId="1" hiddenButton="1"/>
    <filterColumn colId="2" hiddenButton="1"/>
    <filterColumn colId="3" hiddenButton="1"/>
  </autoFilter>
  <tableColumns count="4">
    <tableColumn id="1" name="Item" dataDxfId="345"/>
    <tableColumn id="2" name="Rubrica" dataDxfId="344"/>
    <tableColumn id="3" name="Base de Cálculo" dataDxfId="343"/>
    <tableColumn id="4" name="Memória de Cálculo" dataDxfId="342"/>
  </tableColumns>
  <tableStyleInfo name="TableStyleLight18" showFirstColumn="0" showLastColumn="0" showRowStripes="1" showColumnStripes="0"/>
</table>
</file>

<file path=xl/tables/table21.xml><?xml version="1.0" encoding="utf-8"?>
<table xmlns="http://schemas.openxmlformats.org/spreadsheetml/2006/main" id="71" name="Table8423872" displayName="Table8423872" ref="A99:D102" totalsRowShown="0">
  <autoFilter ref="A99:D102">
    <filterColumn colId="0" hiddenButton="1"/>
    <filterColumn colId="1" hiddenButton="1"/>
    <filterColumn colId="2" hiddenButton="1"/>
    <filterColumn colId="3" hiddenButton="1"/>
  </autoFilter>
  <tableColumns count="4">
    <tableColumn id="1" name="Item" dataDxfId="341"/>
    <tableColumn id="2" name="Rubrica" dataDxfId="340"/>
    <tableColumn id="3" name="Base de Cálculo" dataDxfId="339"/>
    <tableColumn id="4" name="Memória de Cálculo" dataDxfId="338"/>
  </tableColumns>
  <tableStyleInfo name="TableStyleLight18" showFirstColumn="0" showLastColumn="0" showRowStripes="1" showColumnStripes="0"/>
</table>
</file>

<file path=xl/tables/table22.xml><?xml version="1.0" encoding="utf-8"?>
<table xmlns="http://schemas.openxmlformats.org/spreadsheetml/2006/main" id="72" name="Table842385173" displayName="Table842385173" ref="A124:D128" totalsRowShown="0">
  <autoFilter ref="A124:D128">
    <filterColumn colId="0" hiddenButton="1"/>
    <filterColumn colId="1" hiddenButton="1"/>
    <filterColumn colId="2" hiddenButton="1"/>
    <filterColumn colId="3" hiddenButton="1"/>
  </autoFilter>
  <tableColumns count="4">
    <tableColumn id="1" name="Item" dataDxfId="337"/>
    <tableColumn id="2" name="Rubrica" dataDxfId="336"/>
    <tableColumn id="3" name="Base de Cálculo" dataDxfId="335"/>
    <tableColumn id="4" name="Memória de Cálculo" dataDxfId="334"/>
  </tableColumns>
  <tableStyleInfo name="TableStyleLight18" showFirstColumn="0" showLastColumn="0" showRowStripes="1" showColumnStripes="0"/>
</table>
</file>

<file path=xl/tables/table23.xml><?xml version="1.0" encoding="utf-8"?>
<table xmlns="http://schemas.openxmlformats.org/spreadsheetml/2006/main" id="76" name="Tabela6" displayName="Tabela6" ref="F23:G25" totalsRowShown="0">
  <autoFilter ref="F23:G25">
    <filterColumn colId="0" hiddenButton="1"/>
    <filterColumn colId="1" hiddenButton="1"/>
  </autoFilter>
  <tableColumns count="2">
    <tableColumn id="1" name="Descrição"/>
    <tableColumn id="2" name="Valor" dataDxfId="333">
      <calculatedColumnFormula>((D16*(1+(1/3))*(100%+C40))/12)/30</calculatedColumnFormula>
    </tableColumn>
  </tableColumns>
  <tableStyleInfo name="TableStyleMedium14" showFirstColumn="0" showLastColumn="0" showRowStripes="1" showColumnStripes="0"/>
</table>
</file>

<file path=xl/tables/table24.xml><?xml version="1.0" encoding="utf-8"?>
<table xmlns="http://schemas.openxmlformats.org/spreadsheetml/2006/main" id="3" name="Submódulo4.12511_4" displayName="Submódulo4.12511_4" ref="A75:D82" totalsRowCount="1">
  <autoFilter ref="A75:D81"/>
  <tableColumns count="4">
    <tableColumn id="1" name="4.1" totalsRowLabel="Total" dataDxfId="332" totalsRowDxfId="4"/>
    <tableColumn id="2" name="Substituto nas Ausências Legais" dataDxfId="331"/>
    <tableColumn id="3" name="Dias de ausência" totalsRowFunction="sum" dataDxfId="330" totalsRowDxfId="3" dataCellStyle="Porcentagem"/>
    <tableColumn id="4" name="Valor" totalsRowFunction="custom" totalsRowDxfId="2">
      <calculatedColumnFormula>TRUNC(($D$71*C76),2)</calculatedColumnFormula>
      <totalsRowFormula>TRUNC(SUM(D76:D81),2)</totalsRowFormula>
    </tableColumn>
  </tableColumns>
  <tableStyleInfo name="TableStyleMedium14" showFirstColumn="0" showLastColumn="0" showRowStripes="1" showColumnStripes="0"/>
</table>
</file>

<file path=xl/tables/table25.xml><?xml version="1.0" encoding="utf-8"?>
<table xmlns="http://schemas.openxmlformats.org/spreadsheetml/2006/main" id="29" name="ResumoMódulo42713_30" displayName="ResumoMódulo42713_30" ref="A90:D93" totalsRowCount="1">
  <autoFilter ref="A90:D92"/>
  <tableColumns count="4">
    <tableColumn id="1" name="4" totalsRowLabel="Total" dataDxfId="329"/>
    <tableColumn id="2" name="Custo de Reposição do Profissional Ausente" dataDxfId="328"/>
    <tableColumn id="3" name="Comentário" dataDxfId="327"/>
    <tableColumn id="4" name="Valor" totalsRowFunction="custom">
      <calculatedColumnFormula>Submódulo4.22612_31[[#Totals],[Valor]]</calculatedColumnFormula>
      <totalsRowFormula>TRUNC(SUM(D91:D92),2)</totalsRowFormula>
    </tableColumn>
  </tableColumns>
  <tableStyleInfo name="TableStyleMedium14" showFirstColumn="0" showLastColumn="0" showRowStripes="1" showColumnStripes="0"/>
</table>
</file>

<file path=xl/tables/table26.xml><?xml version="1.0" encoding="utf-8"?>
<table xmlns="http://schemas.openxmlformats.org/spreadsheetml/2006/main" id="30" name="Submódulo4.22612_31" displayName="Submódulo4.22612_31" ref="A85:D87" totalsRowCount="1">
  <autoFilter ref="A85:D86"/>
  <tableColumns count="4">
    <tableColumn id="1" name="4.2" totalsRowLabel="Total" dataDxfId="326"/>
    <tableColumn id="2" name="Substituto na Intrajornada " dataDxfId="325"/>
    <tableColumn id="3" name="Comentário" dataDxfId="324"/>
    <tableColumn id="4" name="Valor" totalsRowFunction="sum" dataDxfId="323"/>
  </tableColumns>
  <tableStyleInfo name="TableStyleMedium14" showFirstColumn="0" showLastColumn="0" showRowStripes="1" showColumnStripes="0"/>
</table>
</file>

<file path=xl/tables/table27.xml><?xml version="1.0" encoding="utf-8"?>
<table xmlns="http://schemas.openxmlformats.org/spreadsheetml/2006/main" id="31" name="Módulo52814_32" displayName="Módulo52814_32" ref="A96:D101" totalsRowCount="1">
  <autoFilter ref="A96:D100"/>
  <tableColumns count="4">
    <tableColumn id="1" name="5" totalsRowLabel="Total" dataDxfId="322" totalsRowDxfId="58"/>
    <tableColumn id="2" name="Insumos Diversos" dataDxfId="321"/>
    <tableColumn id="3" name="Comentário" dataDxfId="320"/>
    <tableColumn id="4" name="Valor" totalsRowFunction="custom" totalsRowDxfId="57">
      <totalsRowFormula>TRUNC(SUM(D97:D100),2)</totalsRowFormula>
    </tableColumn>
  </tableColumns>
  <tableStyleInfo name="TableStyleMedium14" showFirstColumn="0" showLastColumn="0" showRowStripes="1" showColumnStripes="0"/>
</table>
</file>

<file path=xl/tables/table28.xml><?xml version="1.0" encoding="utf-8"?>
<table xmlns="http://schemas.openxmlformats.org/spreadsheetml/2006/main" id="32" name="ResumoPosto3016_33" displayName="ResumoPosto3016_33" ref="A122:D130">
  <autoFilter ref="A122:D130"/>
  <tableColumns count="4">
    <tableColumn id="1" name="Item" totalsRowLabel="Total" dataDxfId="319"/>
    <tableColumn id="2" name="Mão de obra vinculada à execução contratual" dataDxfId="318"/>
    <tableColumn id="3" name="-" dataDxfId="317"/>
    <tableColumn id="4" name="Valor" totalsRowFunction="sum" dataDxfId="316"/>
  </tableColumns>
  <tableStyleInfo name="TableStyleMedium14" showFirstColumn="0" showLastColumn="0" showRowStripes="1" showColumnStripes="0"/>
</table>
</file>

<file path=xl/tables/table29.xml><?xml version="1.0" encoding="utf-8"?>
<table xmlns="http://schemas.openxmlformats.org/spreadsheetml/2006/main" id="33" name="Módulo62915_34" displayName="Módulo62915_34" ref="A111:D118" totalsRowCount="1">
  <tableColumns count="4">
    <tableColumn id="1" name="6" totalsRowLabel="Total" dataDxfId="315" totalsRowDxfId="7"/>
    <tableColumn id="2" name="Custos Indiretos, Tributos e Lucro" dataDxfId="314"/>
    <tableColumn id="3" name="Percentual" dataDxfId="313" totalsRowDxfId="6"/>
    <tableColumn id="4" name="Valor" totalsRowDxfId="5"/>
  </tableColumns>
  <tableStyleInfo name="TableStyleMedium14" showFirstColumn="0" showLastColumn="0" showRowStripes="1" showColumnStripes="0"/>
</table>
</file>

<file path=xl/tables/table3.xml><?xml version="1.0" encoding="utf-8"?>
<table xmlns="http://schemas.openxmlformats.org/spreadsheetml/2006/main" id="53" name="Submódulo2.14" displayName="Submódulo2.14" ref="A21:D24" totalsRowCount="1">
  <autoFilter ref="A21:D23">
    <filterColumn colId="0" hiddenButton="1"/>
    <filterColumn colId="1" hiddenButton="1"/>
    <filterColumn colId="2" hiddenButton="1"/>
    <filterColumn colId="3" hiddenButton="1"/>
  </autoFilter>
  <tableColumns count="4">
    <tableColumn id="1" name="2.1" totalsRowLabel="Total" dataDxfId="405"/>
    <tableColumn id="2" name="13º (décimo terceiro) Salário e Adicional de Férias" dataDxfId="404"/>
    <tableColumn id="3" name="Comentário" dataDxfId="403"/>
    <tableColumn id="4" name="Valor" totalsRowFunction="sum" dataDxfId="402">
      <calculatedColumnFormula>(Módulo13[[#Totals],[Valor]]/12)*(1/3)</calculatedColumnFormula>
    </tableColumn>
  </tableColumns>
  <tableStyleInfo name="TableStyleMedium14" showFirstColumn="0" showLastColumn="0" showRowStripes="1" showColumnStripes="0"/>
</table>
</file>

<file path=xl/tables/table30.xml><?xml version="1.0" encoding="utf-8"?>
<table xmlns="http://schemas.openxmlformats.org/spreadsheetml/2006/main" id="34" name="DadosGerais3117_35" displayName="DadosGerais3117_35" ref="F2:G6" totalsRowShown="0">
  <autoFilter ref="F2:G6"/>
  <tableColumns count="2">
    <tableColumn id="1" name="Descrição" dataDxfId="312"/>
    <tableColumn id="2" name="Valor" dataDxfId="311"/>
  </tableColumns>
  <tableStyleInfo name="TableStyleMedium14" showFirstColumn="0" showLastColumn="0" showRowStripes="1" showColumnStripes="0"/>
</table>
</file>

<file path=xl/tables/table31.xml><?xml version="1.0" encoding="utf-8"?>
<table xmlns="http://schemas.openxmlformats.org/spreadsheetml/2006/main" id="49" name="Table42522_50" displayName="Table42522_50" ref="A2:D7" totalsRowShown="0">
  <tableColumns count="4">
    <tableColumn id="1" name="Item" dataDxfId="310"/>
    <tableColumn id="2" name="Descrição" dataDxfId="309"/>
    <tableColumn id="3" name="Comentário" dataDxfId="308"/>
    <tableColumn id="4" name="Valor" dataDxfId="307"/>
  </tableColumns>
  <tableStyleInfo name="TableStyleMedium14" showFirstColumn="0" showLastColumn="0" showRowStripes="1" showColumnStripes="0"/>
</table>
</file>

<file path=xl/tables/table32.xml><?xml version="1.0" encoding="utf-8"?>
<table xmlns="http://schemas.openxmlformats.org/spreadsheetml/2006/main" id="50" name="Módulo135_51" displayName="Módulo135_51" ref="A10:D17" totalsRowCount="1">
  <autoFilter ref="A10:D16"/>
  <tableColumns count="4">
    <tableColumn id="1" name="1" totalsRowLabel="Total" dataDxfId="306" totalsRowDxfId="63"/>
    <tableColumn id="2" name="Composição da Remuneração" dataDxfId="305"/>
    <tableColumn id="3" name="Comentário" dataDxfId="304" totalsRowDxfId="62"/>
    <tableColumn id="4" name="Valor" totalsRowFunction="custom" totalsRowDxfId="61">
      <totalsRowFormula>TRUNC(SUM(D11:D16),2)</totalsRowFormula>
    </tableColumn>
  </tableColumns>
  <tableStyleInfo name="TableStyleMedium14" showFirstColumn="0" showLastColumn="0" showRowStripes="1" showColumnStripes="0"/>
</table>
</file>

<file path=xl/tables/table33.xml><?xml version="1.0" encoding="utf-8"?>
<table xmlns="http://schemas.openxmlformats.org/spreadsheetml/2006/main" id="73" name="Submódulo2.146_74" displayName="Submódulo2.146_74" ref="A21:D24" totalsRowCount="1">
  <autoFilter ref="A21:D23"/>
  <tableColumns count="4">
    <tableColumn id="1" name="2.1" totalsRowLabel="Total" dataDxfId="303"/>
    <tableColumn id="2" name="13º (décimo terceiro) Salário e Adicional de Férias" dataDxfId="302"/>
    <tableColumn id="3" name="Comentário" dataDxfId="301">
      <calculatedColumnFormula>(((1+1/3)/12))</calculatedColumnFormula>
    </tableColumn>
    <tableColumn id="4" name="Valor" totalsRowFunction="custom">
      <calculatedColumnFormula>TRUNC($D$17*C22,2)</calculatedColumnFormula>
      <totalsRowFormula>TRUNC(SUM(D22:D23),2)</totalsRowFormula>
    </tableColumn>
  </tableColumns>
  <tableStyleInfo name="TableStyleMedium14" showFirstColumn="0" showLastColumn="0" showRowStripes="1" showColumnStripes="0"/>
</table>
</file>

<file path=xl/tables/table34.xml><?xml version="1.0" encoding="utf-8"?>
<table xmlns="http://schemas.openxmlformats.org/spreadsheetml/2006/main" id="74" name="Submódulo2.267_75" displayName="Submódulo2.267_75" ref="A31:D40" totalsRowCount="1">
  <autoFilter ref="A31:D39"/>
  <tableColumns count="4">
    <tableColumn id="1" name="2.2" totalsRowLabel="Total" dataDxfId="300"/>
    <tableColumn id="2" name="GPS, FGTS e outras contribuições" dataDxfId="299"/>
    <tableColumn id="3" name="Percentual" totalsRowFunction="sum" dataDxfId="298"/>
    <tableColumn id="4" name="Valor " totalsRowFunction="custom">
      <calculatedColumnFormula>TRUNC(($D$28*C32),2)</calculatedColumnFormula>
      <totalsRowFormula>TRUNC(SUM(D32:D39),2)</totalsRowFormula>
    </tableColumn>
  </tableColumns>
  <tableStyleInfo name="TableStyleMedium14" showFirstColumn="0" showLastColumn="0" showRowStripes="1" showColumnStripes="0"/>
</table>
</file>

<file path=xl/tables/table35.xml><?xml version="1.0" encoding="utf-8"?>
<table xmlns="http://schemas.openxmlformats.org/spreadsheetml/2006/main" id="75" name="Submódulo2.388_76" displayName="Submódulo2.388_76" ref="A43:D49" totalsRowCount="1">
  <autoFilter ref="A43:D48"/>
  <tableColumns count="4">
    <tableColumn id="1" name="2.3" totalsRowLabel="Total" dataDxfId="297" totalsRowDxfId="60"/>
    <tableColumn id="2" name="Benefícios Mensais e Diários" dataDxfId="296"/>
    <tableColumn id="3" name="Comentário" dataDxfId="295"/>
    <tableColumn id="4" name="Valor" totalsRowFunction="custom" totalsRowDxfId="59">
      <totalsRowFormula>TRUNC(SUM(D44:D48),2)</totalsRowFormula>
    </tableColumn>
  </tableColumns>
  <tableStyleInfo name="TableStyleMedium14" showFirstColumn="0" showLastColumn="0" showRowStripes="1" showColumnStripes="0"/>
</table>
</file>

<file path=xl/tables/table36.xml><?xml version="1.0" encoding="utf-8"?>
<table xmlns="http://schemas.openxmlformats.org/spreadsheetml/2006/main" id="100" name="ResumoMódulo299_101" displayName="ResumoMódulo299_101" ref="A52:D56" totalsRowCount="1">
  <autoFilter ref="A52:D55"/>
  <tableColumns count="4">
    <tableColumn id="1" name="2" totalsRowLabel="Total" dataDxfId="294"/>
    <tableColumn id="2" name="Encargos e Benefícios Anuais, Mensais e Diários" dataDxfId="293"/>
    <tableColumn id="3" name="Comentário" dataDxfId="292"/>
    <tableColumn id="4" name="Valor" totalsRowFunction="custom">
      <calculatedColumnFormula>D47</calculatedColumnFormula>
      <totalsRowFormula>TRUNC(SUM(D53:D55),2)</totalsRowFormula>
    </tableColumn>
  </tableColumns>
  <tableStyleInfo name="TableStyleMedium14" showFirstColumn="0" showLastColumn="0" showRowStripes="1" showColumnStripes="0"/>
</table>
</file>

<file path=xl/tables/table37.xml><?xml version="1.0" encoding="utf-8"?>
<table xmlns="http://schemas.openxmlformats.org/spreadsheetml/2006/main" id="101" name="Módulo32410_102" displayName="Módulo32410_102" ref="A59:D66" totalsRowCount="1">
  <autoFilter ref="A59:D65"/>
  <tableColumns count="4">
    <tableColumn id="1" name="3" totalsRowLabel="Total" dataDxfId="291" totalsRowDxfId="1"/>
    <tableColumn id="2" name="Provisão para Rescisão" dataDxfId="290"/>
    <tableColumn id="3" name="Comentário" dataDxfId="289"/>
    <tableColumn id="4" name="Valor" totalsRowFunction="custom" totalsRowDxfId="0">
      <calculatedColumnFormula>TRUNC(($D$17*C60),2)</calculatedColumnFormula>
      <totalsRowFormula>TRUNC(SUM(D60:D65),2)</totalsRowFormula>
    </tableColumn>
  </tableColumns>
  <tableStyleInfo name="TableStyleMedium14" showFirstColumn="0" showLastColumn="0" showRowStripes="1" showColumnStripes="0"/>
</table>
</file>

<file path=xl/tables/table38.xml><?xml version="1.0" encoding="utf-8"?>
<table xmlns="http://schemas.openxmlformats.org/spreadsheetml/2006/main" id="125" name="Módulo52814_32126" displayName="Módulo52814_32126" ref="A96:D101" totalsRowCount="1">
  <autoFilter ref="A96:D100"/>
  <tableColumns count="4">
    <tableColumn id="1" name="5" totalsRowLabel="Total" dataDxfId="288" totalsRowDxfId="54"/>
    <tableColumn id="2" name="Insumos Diversos" dataDxfId="287"/>
    <tableColumn id="3" name="Comentário" dataDxfId="286"/>
    <tableColumn id="4" name="Valor" totalsRowDxfId="53"/>
  </tableColumns>
  <tableStyleInfo name="TableStyleMedium14" showFirstColumn="0" showLastColumn="0" showRowStripes="1" showColumnStripes="0"/>
</table>
</file>

<file path=xl/tables/table39.xml><?xml version="1.0" encoding="utf-8"?>
<table xmlns="http://schemas.openxmlformats.org/spreadsheetml/2006/main" id="126" name="ResumoPosto3016_33127" displayName="ResumoPosto3016_33127" ref="A121:D129">
  <autoFilter ref="A121:D129"/>
  <tableColumns count="4">
    <tableColumn id="1" name="Item" totalsRowLabel="Total" dataDxfId="285"/>
    <tableColumn id="2" name="Mão de obra vinculada à execução contratual" dataDxfId="284"/>
    <tableColumn id="3" name="-" dataDxfId="283"/>
    <tableColumn id="4" name="Valor" totalsRowFunction="sum" dataDxfId="282">
      <calculatedColumnFormula>TRUNC((SUM(D115:D119)+D121),2)</calculatedColumnFormula>
    </tableColumn>
  </tableColumns>
  <tableStyleInfo name="TableStyleMedium14" showFirstColumn="0" showLastColumn="0" showRowStripes="1" showColumnStripes="0"/>
</table>
</file>

<file path=xl/tables/table4.xml><?xml version="1.0" encoding="utf-8"?>
<table xmlns="http://schemas.openxmlformats.org/spreadsheetml/2006/main" id="54" name="Submódulo2.26" displayName="Submódulo2.26" ref="A32:D41" totalsRowCount="1">
  <autoFilter ref="A32:D40">
    <filterColumn colId="0" hiddenButton="1"/>
    <filterColumn colId="1" hiddenButton="1"/>
    <filterColumn colId="2" hiddenButton="1"/>
    <filterColumn colId="3" hiddenButton="1"/>
  </autoFilter>
  <tableColumns count="4">
    <tableColumn id="1" name="2.2" totalsRowLabel="Total" dataDxfId="401"/>
    <tableColumn id="2" name="GPS, FGTS e outras contribuições" dataDxfId="400"/>
    <tableColumn id="3" name="Percentual" totalsRowFunction="sum" dataDxfId="399"/>
    <tableColumn id="4" name="Valor " totalsRowFunction="sum" dataDxfId="398">
      <calculatedColumnFormula>C33*(Módulo13[[#Totals],[Valor]]+Submódulo2.14[[#Totals],[Valor]])</calculatedColumnFormula>
    </tableColumn>
  </tableColumns>
  <tableStyleInfo name="TableStyleMedium14" showFirstColumn="0" showLastColumn="0" showRowStripes="1" showColumnStripes="0"/>
</table>
</file>

<file path=xl/tables/table40.xml><?xml version="1.0" encoding="utf-8"?>
<table xmlns="http://schemas.openxmlformats.org/spreadsheetml/2006/main" id="127" name="Módulo62915_34128" displayName="Módulo62915_34128" ref="A111:D118" totalsRowCount="1">
  <tableColumns count="4">
    <tableColumn id="1" name="6" totalsRowLabel="Total" dataDxfId="281" totalsRowDxfId="23"/>
    <tableColumn id="2" name="Custos Indiretos, Tributos e Lucro" dataDxfId="280"/>
    <tableColumn id="3" name="Percentual" dataDxfId="279" totalsRowDxfId="22"/>
    <tableColumn id="4" name="Valor" totalsRowFunction="custom" totalsRowDxfId="21">
      <calculatedColumnFormula>TRUNC($G$114*C112,2)</calculatedColumnFormula>
      <totalsRowFormula>TRUNC(SUM(D112:D114),2)</totalsRowFormula>
    </tableColumn>
  </tableColumns>
  <tableStyleInfo name="TableStyleMedium14" showFirstColumn="0" showLastColumn="0" showRowStripes="1" showColumnStripes="0"/>
</table>
</file>

<file path=xl/tables/table41.xml><?xml version="1.0" encoding="utf-8"?>
<table xmlns="http://schemas.openxmlformats.org/spreadsheetml/2006/main" id="128" name="Submódulo4.22612_31129" displayName="Submódulo4.22612_31129" ref="A85:D87" totalsRowCount="1">
  <autoFilter ref="A85:D86"/>
  <tableColumns count="4">
    <tableColumn id="1" name="4.2" totalsRowLabel="Total" dataDxfId="278"/>
    <tableColumn id="2" name="Substituto na Intrajornada " dataDxfId="277"/>
    <tableColumn id="3" name="Comentário" dataDxfId="276"/>
    <tableColumn id="4" name="Valor" totalsRowFunction="sum" dataDxfId="275"/>
  </tableColumns>
  <tableStyleInfo name="TableStyleMedium14" showFirstColumn="0" showLastColumn="0" showRowStripes="1" showColumnStripes="0"/>
</table>
</file>

<file path=xl/tables/table42.xml><?xml version="1.0" encoding="utf-8"?>
<table xmlns="http://schemas.openxmlformats.org/spreadsheetml/2006/main" id="129" name="ResumoMódulo42713_30130" displayName="ResumoMódulo42713_30130" ref="A90:D93" totalsRowCount="1">
  <autoFilter ref="A90:D92"/>
  <tableColumns count="4">
    <tableColumn id="1" name="4" totalsRowLabel="Total" dataDxfId="274"/>
    <tableColumn id="2" name="Custo de Reposição do Profissional Ausente" dataDxfId="273"/>
    <tableColumn id="3" name="Comentário" dataDxfId="272"/>
    <tableColumn id="4" name="Valor" totalsRowFunction="custom">
      <calculatedColumnFormula>Submódulo4.22612_31129[[#Totals],[Valor]]</calculatedColumnFormula>
      <totalsRowFormula>TRUNC(SUM(D91:D92),2)</totalsRowFormula>
    </tableColumn>
  </tableColumns>
  <tableStyleInfo name="TableStyleMedium14" showFirstColumn="0" showLastColumn="0" showRowStripes="1" showColumnStripes="0"/>
</table>
</file>

<file path=xl/tables/table43.xml><?xml version="1.0" encoding="utf-8"?>
<table xmlns="http://schemas.openxmlformats.org/spreadsheetml/2006/main" id="130" name="DadosGerais3117_35131" displayName="DadosGerais3117_35131" ref="F2:G6" totalsRowShown="0">
  <autoFilter ref="F2:G6"/>
  <tableColumns count="2">
    <tableColumn id="1" name="Descrição" dataDxfId="271"/>
    <tableColumn id="2" name="Valor" dataDxfId="270"/>
  </tableColumns>
  <tableStyleInfo name="TableStyleMedium14" showFirstColumn="0" showLastColumn="0" showRowStripes="1" showColumnStripes="0"/>
</table>
</file>

<file path=xl/tables/table44.xml><?xml version="1.0" encoding="utf-8"?>
<table xmlns="http://schemas.openxmlformats.org/spreadsheetml/2006/main" id="131" name="Submódulo4.12511_4132" displayName="Submódulo4.12511_4132" ref="A75:D82" totalsRowCount="1">
  <autoFilter ref="A75:D81"/>
  <tableColumns count="4">
    <tableColumn id="1" name="4.1" totalsRowLabel="Total" dataDxfId="269" totalsRowDxfId="12"/>
    <tableColumn id="2" name="Substituto nas Ausências Legais" dataDxfId="268"/>
    <tableColumn id="3" name="Dias de ausência" totalsRowFunction="sum" dataDxfId="267" totalsRowDxfId="11" dataCellStyle="Porcentagem"/>
    <tableColumn id="4" name="Valor" totalsRowFunction="custom" totalsRowDxfId="10">
      <calculatedColumnFormula>TRUNC(($D$71*C76),2)</calculatedColumnFormula>
      <totalsRowFormula>TRUNC(SUM(D76:D81),2)</totalsRowFormula>
    </tableColumn>
  </tableColumns>
  <tableStyleInfo name="TableStyleMedium14" showFirstColumn="0" showLastColumn="0" showRowStripes="1" showColumnStripes="0"/>
</table>
</file>

<file path=xl/tables/table45.xml><?xml version="1.0" encoding="utf-8"?>
<table xmlns="http://schemas.openxmlformats.org/spreadsheetml/2006/main" id="132" name="Table42522_50133" displayName="Table42522_50133" ref="A2:D7" totalsRowShown="0">
  <tableColumns count="4">
    <tableColumn id="1" name="Item" dataDxfId="266"/>
    <tableColumn id="2" name="Descrição" dataDxfId="265"/>
    <tableColumn id="3" name="Comentário" dataDxfId="264"/>
    <tableColumn id="4" name="Valor" dataDxfId="263"/>
  </tableColumns>
  <tableStyleInfo name="TableStyleMedium14" showFirstColumn="0" showLastColumn="0" showRowStripes="1" showColumnStripes="0"/>
</table>
</file>

<file path=xl/tables/table46.xml><?xml version="1.0" encoding="utf-8"?>
<table xmlns="http://schemas.openxmlformats.org/spreadsheetml/2006/main" id="133" name="Módulo135_51134" displayName="Módulo135_51134" ref="A10:D17" totalsRowCount="1">
  <autoFilter ref="A10:D16"/>
  <tableColumns count="4">
    <tableColumn id="1" name="1" totalsRowLabel="Total" dataDxfId="262"/>
    <tableColumn id="2" name="Composição da Remuneração" dataDxfId="261"/>
    <tableColumn id="3" name="Comentário" dataDxfId="260"/>
    <tableColumn id="4" name="Valor" totalsRowFunction="custom">
      <totalsRowFormula>TRUNC(SUM(D11:D16),2)</totalsRowFormula>
    </tableColumn>
  </tableColumns>
  <tableStyleInfo name="TableStyleMedium14" showFirstColumn="0" showLastColumn="0" showRowStripes="1" showColumnStripes="0"/>
</table>
</file>

<file path=xl/tables/table47.xml><?xml version="1.0" encoding="utf-8"?>
<table xmlns="http://schemas.openxmlformats.org/spreadsheetml/2006/main" id="134" name="Submódulo2.146_74135" displayName="Submódulo2.146_74135" ref="A21:D24" totalsRowCount="1">
  <autoFilter ref="A21:D23"/>
  <tableColumns count="4">
    <tableColumn id="1" name="2.1" totalsRowLabel="Total" dataDxfId="259"/>
    <tableColumn id="2" name="13º (décimo terceiro) Salário e Adicional de Férias" dataDxfId="258"/>
    <tableColumn id="3" name="Comentário" dataDxfId="257">
      <calculatedColumnFormula>(((1+1/3)/12))</calculatedColumnFormula>
    </tableColumn>
    <tableColumn id="4" name="Valor" totalsRowFunction="custom">
      <calculatedColumnFormula>TRUNC($D$17*C22,2)</calculatedColumnFormula>
      <totalsRowFormula>TRUNC(SUM(D22:D23),2)</totalsRowFormula>
    </tableColumn>
  </tableColumns>
  <tableStyleInfo name="TableStyleMedium14" showFirstColumn="0" showLastColumn="0" showRowStripes="1" showColumnStripes="0"/>
</table>
</file>

<file path=xl/tables/table48.xml><?xml version="1.0" encoding="utf-8"?>
<table xmlns="http://schemas.openxmlformats.org/spreadsheetml/2006/main" id="135" name="Submódulo2.267_75136" displayName="Submódulo2.267_75136" ref="A31:D40" totalsRowCount="1">
  <autoFilter ref="A31:D39"/>
  <tableColumns count="4">
    <tableColumn id="1" name="2.2" totalsRowLabel="Total" dataDxfId="256"/>
    <tableColumn id="2" name="GPS, FGTS e outras contribuições" dataDxfId="255"/>
    <tableColumn id="3" name="Percentual" totalsRowFunction="sum" dataDxfId="254"/>
    <tableColumn id="4" name="Valor " totalsRowFunction="custom">
      <calculatedColumnFormula>TRUNC(($D$28*C32),2)</calculatedColumnFormula>
      <totalsRowFormula>TRUNC(SUM(D32:D39),2)</totalsRowFormula>
    </tableColumn>
  </tableColumns>
  <tableStyleInfo name="TableStyleMedium14" showFirstColumn="0" showLastColumn="0" showRowStripes="1" showColumnStripes="0"/>
</table>
</file>

<file path=xl/tables/table49.xml><?xml version="1.0" encoding="utf-8"?>
<table xmlns="http://schemas.openxmlformats.org/spreadsheetml/2006/main" id="136" name="Submódulo2.388_76137" displayName="Submódulo2.388_76137" ref="A43:D49" totalsRowCount="1">
  <autoFilter ref="A43:D48"/>
  <tableColumns count="4">
    <tableColumn id="1" name="2.3" totalsRowLabel="Total" dataDxfId="253" totalsRowDxfId="56"/>
    <tableColumn id="2" name="Benefícios Mensais e Diários" dataDxfId="252"/>
    <tableColumn id="3" name="Comentário" dataDxfId="251"/>
    <tableColumn id="4" name="Valor" totalsRowFunction="custom" totalsRowDxfId="55">
      <totalsRowFormula>TRUNC(SUM(D44:D48),2)</totalsRowFormula>
    </tableColumn>
  </tableColumns>
  <tableStyleInfo name="TableStyleMedium14" showFirstColumn="0" showLastColumn="0" showRowStripes="1" showColumnStripes="0"/>
</table>
</file>

<file path=xl/tables/table5.xml><?xml version="1.0" encoding="utf-8"?>
<table xmlns="http://schemas.openxmlformats.org/spreadsheetml/2006/main" id="55" name="Submódulo2.38" displayName="Submódulo2.38" ref="A48:D54" totalsRowCount="1">
  <autoFilter ref="A48:D53">
    <filterColumn colId="0" hiddenButton="1"/>
    <filterColumn colId="1" hiddenButton="1"/>
    <filterColumn colId="2" hiddenButton="1"/>
    <filterColumn colId="3" hiddenButton="1"/>
  </autoFilter>
  <tableColumns count="4">
    <tableColumn id="1" name="2.3" totalsRowLabel="Total" dataDxfId="397"/>
    <tableColumn id="2" name="Benefícios Mensais e Diários" dataDxfId="396"/>
    <tableColumn id="3" name="Comentário" dataDxfId="395"/>
    <tableColumn id="4" name="Valor" totalsRowFunction="sum" dataDxfId="394"/>
  </tableColumns>
  <tableStyleInfo name="TableStyleMedium14" showFirstColumn="0" showLastColumn="0" showRowStripes="1" showColumnStripes="0"/>
</table>
</file>

<file path=xl/tables/table50.xml><?xml version="1.0" encoding="utf-8"?>
<table xmlns="http://schemas.openxmlformats.org/spreadsheetml/2006/main" id="137" name="ResumoMódulo299_101138" displayName="ResumoMódulo299_101138" ref="A52:D56" totalsRowCount="1">
  <autoFilter ref="A52:D55"/>
  <tableColumns count="4">
    <tableColumn id="1" name="2" totalsRowLabel="Total" dataDxfId="250"/>
    <tableColumn id="2" name="Encargos e Benefícios Anuais, Mensais e Diários" dataDxfId="249"/>
    <tableColumn id="3" name="Comentário" dataDxfId="248"/>
    <tableColumn id="4" name="Valor" totalsRowFunction="custom">
      <calculatedColumnFormula>D47</calculatedColumnFormula>
      <totalsRowFormula>TRUNC(SUM(D53:D55),2)</totalsRowFormula>
    </tableColumn>
  </tableColumns>
  <tableStyleInfo name="TableStyleMedium14" showFirstColumn="0" showLastColumn="0" showRowStripes="1" showColumnStripes="0"/>
</table>
</file>

<file path=xl/tables/table51.xml><?xml version="1.0" encoding="utf-8"?>
<table xmlns="http://schemas.openxmlformats.org/spreadsheetml/2006/main" id="138" name="Módulo32410_102139" displayName="Módulo32410_102139" ref="A59:D66" totalsRowCount="1">
  <autoFilter ref="A59:D65"/>
  <tableColumns count="4">
    <tableColumn id="1" name="3" totalsRowLabel="Total" dataDxfId="247" totalsRowDxfId="9"/>
    <tableColumn id="2" name="Provisão para Rescisão" dataDxfId="246"/>
    <tableColumn id="3" name="Comentário" dataDxfId="245"/>
    <tableColumn id="4" name="Valor" totalsRowFunction="custom" totalsRowDxfId="8">
      <calculatedColumnFormula>TRUNC(($D$17*C60),2)</calculatedColumnFormula>
      <totalsRowFormula>TRUNC(SUM(D60:D65),2)</totalsRowFormula>
    </tableColumn>
  </tableColumns>
  <tableStyleInfo name="TableStyleMedium14" showFirstColumn="0" showLastColumn="0" showRowStripes="1" showColumnStripes="0"/>
</table>
</file>

<file path=xl/tables/table52.xml><?xml version="1.0" encoding="utf-8"?>
<table xmlns="http://schemas.openxmlformats.org/spreadsheetml/2006/main" id="77" name="Table425278" displayName="Table425278" ref="A2:D7" totalsRowShown="0">
  <tableColumns count="4">
    <tableColumn id="1" name="Item" dataDxfId="244"/>
    <tableColumn id="2" name="Descrição" dataDxfId="243"/>
    <tableColumn id="3" name="Comentário" dataDxfId="242"/>
    <tableColumn id="4" name="Valor" dataDxfId="241"/>
  </tableColumns>
  <tableStyleInfo name="TableStyleMedium14" showFirstColumn="0" showLastColumn="0" showRowStripes="1" showColumnStripes="0"/>
</table>
</file>

<file path=xl/tables/table53.xml><?xml version="1.0" encoding="utf-8"?>
<table xmlns="http://schemas.openxmlformats.org/spreadsheetml/2006/main" id="78" name="Módulo1379" displayName="Módulo1379" ref="A10:D17" totalsRowCount="1">
  <autoFilter ref="A10:D16">
    <filterColumn colId="0" hiddenButton="1"/>
    <filterColumn colId="1" hiddenButton="1"/>
    <filterColumn colId="2" hiddenButton="1"/>
    <filterColumn colId="3" hiddenButton="1"/>
  </autoFilter>
  <tableColumns count="4">
    <tableColumn id="1" name="1" totalsRowLabel="Total" dataDxfId="240"/>
    <tableColumn id="2" name="Composição da Remuneração" dataDxfId="239"/>
    <tableColumn id="3" name="Comentário" dataDxfId="238"/>
    <tableColumn id="4" name="Valor" totalsRowFunction="sum" dataDxfId="237"/>
  </tableColumns>
  <tableStyleInfo name="TableStyleMedium14" showFirstColumn="0" showLastColumn="0" showRowStripes="1" showColumnStripes="0"/>
</table>
</file>

<file path=xl/tables/table54.xml><?xml version="1.0" encoding="utf-8"?>
<table xmlns="http://schemas.openxmlformats.org/spreadsheetml/2006/main" id="79" name="Submódulo2.1480" displayName="Submódulo2.1480" ref="A21:D24" totalsRowCount="1">
  <autoFilter ref="A21:D23">
    <filterColumn colId="0" hiddenButton="1"/>
    <filterColumn colId="1" hiddenButton="1"/>
    <filterColumn colId="2" hiddenButton="1"/>
    <filterColumn colId="3" hiddenButton="1"/>
  </autoFilter>
  <tableColumns count="4">
    <tableColumn id="1" name="2.1" totalsRowLabel="Total" dataDxfId="236"/>
    <tableColumn id="2" name="13º (décimo terceiro) Salário e Adicional de Férias" dataDxfId="235"/>
    <tableColumn id="3" name="Comentário" dataDxfId="234"/>
    <tableColumn id="4" name="Valor" totalsRowFunction="sum" dataDxfId="233">
      <calculatedColumnFormula>(Módulo1379[[#Totals],[Valor]]/12)*(1/3)</calculatedColumnFormula>
    </tableColumn>
  </tableColumns>
  <tableStyleInfo name="TableStyleMedium14" showFirstColumn="0" showLastColumn="0" showRowStripes="1" showColumnStripes="0"/>
</table>
</file>

<file path=xl/tables/table55.xml><?xml version="1.0" encoding="utf-8"?>
<table xmlns="http://schemas.openxmlformats.org/spreadsheetml/2006/main" id="80" name="Submódulo2.2681" displayName="Submódulo2.2681" ref="A32:D41" totalsRowCount="1">
  <autoFilter ref="A32:D40">
    <filterColumn colId="0" hiddenButton="1"/>
    <filterColumn colId="1" hiddenButton="1"/>
    <filterColumn colId="2" hiddenButton="1"/>
    <filterColumn colId="3" hiddenButton="1"/>
  </autoFilter>
  <tableColumns count="4">
    <tableColumn id="1" name="2.2" totalsRowLabel="Total" dataDxfId="232"/>
    <tableColumn id="2" name="GPS, FGTS e outras contribuições" dataDxfId="231"/>
    <tableColumn id="3" name="Percentual" totalsRowFunction="sum" dataDxfId="230"/>
    <tableColumn id="4" name="Valor " totalsRowFunction="sum" dataDxfId="229">
      <calculatedColumnFormula>C33*(Módulo1379[[#Totals],[Valor]]+Submódulo2.1480[[#Totals],[Valor]])</calculatedColumnFormula>
    </tableColumn>
  </tableColumns>
  <tableStyleInfo name="TableStyleMedium14" showFirstColumn="0" showLastColumn="0" showRowStripes="1" showColumnStripes="0"/>
</table>
</file>

<file path=xl/tables/table56.xml><?xml version="1.0" encoding="utf-8"?>
<table xmlns="http://schemas.openxmlformats.org/spreadsheetml/2006/main" id="81" name="Submódulo2.3882" displayName="Submódulo2.3882" ref="A48:D54" totalsRowCount="1">
  <autoFilter ref="A48:D53">
    <filterColumn colId="0" hiddenButton="1"/>
    <filterColumn colId="1" hiddenButton="1"/>
    <filterColumn colId="2" hiddenButton="1"/>
    <filterColumn colId="3" hiddenButton="1"/>
  </autoFilter>
  <tableColumns count="4">
    <tableColumn id="1" name="2.3" totalsRowLabel="Total" dataDxfId="228"/>
    <tableColumn id="2" name="Benefícios Mensais e Diários" dataDxfId="227"/>
    <tableColumn id="3" name="Comentário" dataDxfId="226"/>
    <tableColumn id="4" name="Valor" totalsRowFunction="sum" dataDxfId="225"/>
  </tableColumns>
  <tableStyleInfo name="TableStyleMedium14" showFirstColumn="0" showLastColumn="0" showRowStripes="1" showColumnStripes="0"/>
</table>
</file>

<file path=xl/tables/table57.xml><?xml version="1.0" encoding="utf-8"?>
<table xmlns="http://schemas.openxmlformats.org/spreadsheetml/2006/main" id="82" name="ResumoMódulo2983" displayName="ResumoMódulo2983" ref="A62:D66" totalsRowCount="1">
  <autoFilter ref="A62:D65">
    <filterColumn colId="0" hiddenButton="1"/>
    <filterColumn colId="1" hiddenButton="1"/>
    <filterColumn colId="2" hiddenButton="1"/>
    <filterColumn colId="3" hiddenButton="1"/>
  </autoFilter>
  <tableColumns count="4">
    <tableColumn id="1" name="2" totalsRowLabel="Total" dataDxfId="224"/>
    <tableColumn id="2" name="Encargos e Benefícios Anuais, Mensais e Diários" dataDxfId="223"/>
    <tableColumn id="3" name="Comentário" dataDxfId="222"/>
    <tableColumn id="4" name="Valor" totalsRowFunction="sum" dataDxfId="221">
      <calculatedColumnFormula>Submódulo2.3882[[#Totals],[Valor]]</calculatedColumnFormula>
    </tableColumn>
  </tableColumns>
  <tableStyleInfo name="TableStyleMedium14" showFirstColumn="0" showLastColumn="0" showRowStripes="1" showColumnStripes="0"/>
</table>
</file>

<file path=xl/tables/table58.xml><?xml version="1.0" encoding="utf-8"?>
<table xmlns="http://schemas.openxmlformats.org/spreadsheetml/2006/main" id="83" name="Módulo32484" displayName="Módulo32484" ref="A69:D76" totalsRowCount="1">
  <autoFilter ref="A69:D75">
    <filterColumn colId="0" hiddenButton="1"/>
    <filterColumn colId="1" hiddenButton="1"/>
    <filterColumn colId="2" hiddenButton="1"/>
    <filterColumn colId="3" hiddenButton="1"/>
  </autoFilter>
  <tableColumns count="4">
    <tableColumn id="1" name="3" totalsRowLabel="Total" dataDxfId="220"/>
    <tableColumn id="2" name="Provisão para Rescisão" dataDxfId="219"/>
    <tableColumn id="3" name="Comentário" dataDxfId="218"/>
    <tableColumn id="4" name="Valor" totalsRowFunction="sum" dataDxfId="217">
      <calculatedColumnFormula>-D58*Encarregado!G7</calculatedColumnFormula>
    </tableColumn>
  </tableColumns>
  <tableStyleInfo name="TableStyleMedium14" showFirstColumn="0" showLastColumn="0" showRowStripes="1" showColumnStripes="0"/>
</table>
</file>

<file path=xl/tables/table59.xml><?xml version="1.0" encoding="utf-8"?>
<table xmlns="http://schemas.openxmlformats.org/spreadsheetml/2006/main" id="84" name="Submódulo4.12585" displayName="Submódulo4.12585" ref="A89:D96" totalsRowCount="1">
  <autoFilter ref="A89:D95">
    <filterColumn colId="0" hiddenButton="1"/>
    <filterColumn colId="1" hiddenButton="1"/>
    <filterColumn colId="2" hiddenButton="1"/>
    <filterColumn colId="3" hiddenButton="1"/>
  </autoFilter>
  <tableColumns count="4">
    <tableColumn id="1" name="4.1" totalsRowLabel="Total" dataDxfId="216"/>
    <tableColumn id="2" name="Substituto nas Ausências Legais" dataDxfId="215"/>
    <tableColumn id="3" name="Dias de ausência" totalsRowFunction="sum" dataDxfId="214"/>
    <tableColumn id="4" name="Valor" totalsRowFunction="sum" dataDxfId="213">
      <calculatedColumnFormula>(C90*G$24)/12</calculatedColumnFormula>
    </tableColumn>
  </tableColumns>
  <tableStyleInfo name="TableStyleMedium14" showFirstColumn="0" showLastColumn="0" showRowStripes="1" showColumnStripes="0"/>
</table>
</file>

<file path=xl/tables/table6.xml><?xml version="1.0" encoding="utf-8"?>
<table xmlns="http://schemas.openxmlformats.org/spreadsheetml/2006/main" id="56" name="ResumoMódulo29" displayName="ResumoMódulo29" ref="A62:D66" totalsRowCount="1">
  <autoFilter ref="A62:D65">
    <filterColumn colId="0" hiddenButton="1"/>
    <filterColumn colId="1" hiddenButton="1"/>
    <filterColumn colId="2" hiddenButton="1"/>
    <filterColumn colId="3" hiddenButton="1"/>
  </autoFilter>
  <tableColumns count="4">
    <tableColumn id="1" name="2" totalsRowLabel="Total" dataDxfId="393"/>
    <tableColumn id="2" name="Encargos e Benefícios Anuais, Mensais e Diários" dataDxfId="392"/>
    <tableColumn id="3" name="Comentário" dataDxfId="391"/>
    <tableColumn id="4" name="Valor" totalsRowFunction="sum" dataDxfId="390">
      <calculatedColumnFormula>Submódulo2.38[[#Totals],[Valor]]</calculatedColumnFormula>
    </tableColumn>
  </tableColumns>
  <tableStyleInfo name="TableStyleMedium14" showFirstColumn="0" showLastColumn="0" showRowStripes="1" showColumnStripes="0"/>
</table>
</file>

<file path=xl/tables/table60.xml><?xml version="1.0" encoding="utf-8"?>
<table xmlns="http://schemas.openxmlformats.org/spreadsheetml/2006/main" id="85" name="Submódulo4.22686" displayName="Submódulo4.22686" ref="A105:D107" totalsRowCount="1">
  <autoFilter ref="A105:D106">
    <filterColumn colId="0" hiddenButton="1"/>
    <filterColumn colId="1" hiddenButton="1"/>
    <filterColumn colId="2" hiddenButton="1"/>
    <filterColumn colId="3" hiddenButton="1"/>
  </autoFilter>
  <tableColumns count="4">
    <tableColumn id="1" name="4.2" totalsRowLabel="Total" dataDxfId="212"/>
    <tableColumn id="2" name="Substituto na Intrajornada " dataDxfId="211"/>
    <tableColumn id="3" name="Comentário" dataDxfId="210"/>
    <tableColumn id="4" name="Valor" totalsRowFunction="sum" dataDxfId="209"/>
  </tableColumns>
  <tableStyleInfo name="TableStyleMedium14" showFirstColumn="0" showLastColumn="0" showRowStripes="1" showColumnStripes="0"/>
</table>
</file>

<file path=xl/tables/table61.xml><?xml version="1.0" encoding="utf-8"?>
<table xmlns="http://schemas.openxmlformats.org/spreadsheetml/2006/main" id="86" name="ResumoMódulo42787" displayName="ResumoMódulo42787" ref="A110:D113" totalsRowCount="1">
  <autoFilter ref="A110:D112">
    <filterColumn colId="0" hiddenButton="1"/>
    <filterColumn colId="1" hiddenButton="1"/>
    <filterColumn colId="2" hiddenButton="1"/>
    <filterColumn colId="3" hiddenButton="1"/>
  </autoFilter>
  <tableColumns count="4">
    <tableColumn id="1" name="4" totalsRowLabel="Total" dataDxfId="208"/>
    <tableColumn id="2" name="Custo de Reposição do Profissional Ausente" dataDxfId="207"/>
    <tableColumn id="3" name="Comentário" dataDxfId="206"/>
    <tableColumn id="4" name="Valor" totalsRowFunction="sum" dataDxfId="205">
      <calculatedColumnFormula>Submódulo4.22686[[#Totals],[Valor]]</calculatedColumnFormula>
    </tableColumn>
  </tableColumns>
  <tableStyleInfo name="TableStyleMedium14" showFirstColumn="0" showLastColumn="0" showRowStripes="1" showColumnStripes="0"/>
</table>
</file>

<file path=xl/tables/table62.xml><?xml version="1.0" encoding="utf-8"?>
<table xmlns="http://schemas.openxmlformats.org/spreadsheetml/2006/main" id="87" name="Módulo52888" displayName="Módulo52888" ref="A116:D121" totalsRowCount="1">
  <autoFilter ref="A116:D120">
    <filterColumn colId="0" hiddenButton="1"/>
    <filterColumn colId="1" hiddenButton="1"/>
    <filterColumn colId="2" hiddenButton="1"/>
    <filterColumn colId="3" hiddenButton="1"/>
  </autoFilter>
  <tableColumns count="4">
    <tableColumn id="1" name="5" totalsRowLabel="Total" dataDxfId="204"/>
    <tableColumn id="2" name="Insumos Diversos" dataDxfId="203"/>
    <tableColumn id="3" name="Comentário" dataDxfId="202"/>
    <tableColumn id="4" name="Valor" totalsRowFunction="sum" dataDxfId="201"/>
  </tableColumns>
  <tableStyleInfo name="TableStyleMedium14" showFirstColumn="0" showLastColumn="0" showRowStripes="1" showColumnStripes="0"/>
</table>
</file>

<file path=xl/tables/table63.xml><?xml version="1.0" encoding="utf-8"?>
<table xmlns="http://schemas.openxmlformats.org/spreadsheetml/2006/main" id="88" name="Módulo62989" displayName="Módulo62989" ref="A131:D138" totalsRowCount="1">
  <tableColumns count="4">
    <tableColumn id="1" name="6" totalsRowLabel="Total" dataDxfId="200"/>
    <tableColumn id="2" name="Custos Indiretos, Tributos e Lucro" dataDxfId="199"/>
    <tableColumn id="3" name="Percentual" dataDxfId="198">
      <calculatedColumnFormula>G15</calculatedColumnFormula>
    </tableColumn>
    <tableColumn id="4" name="Valor" totalsRowFunction="custom">
      <calculatedColumnFormula>Módulo62989[[#This Row],[Percentual]]*D145</calculatedColumnFormula>
      <totalsRowFormula>SUM(D132:D134)</totalsRowFormula>
    </tableColumn>
  </tableColumns>
  <tableStyleInfo name="TableStyleMedium14" showFirstColumn="0" showLastColumn="0" showRowStripes="1" showColumnStripes="0"/>
</table>
</file>

<file path=xl/tables/table64.xml><?xml version="1.0" encoding="utf-8"?>
<table xmlns="http://schemas.openxmlformats.org/spreadsheetml/2006/main" id="89" name="ResumoPosto3090" displayName="ResumoPosto3090" ref="A142:D150">
  <autoFilter ref="A142:D150">
    <filterColumn colId="0" hiddenButton="1"/>
    <filterColumn colId="1" hiddenButton="1"/>
    <filterColumn colId="2" hiddenButton="1"/>
    <filterColumn colId="3" hiddenButton="1"/>
  </autoFilter>
  <tableColumns count="4">
    <tableColumn id="1" name="Item" totalsRowLabel="Total" dataDxfId="197"/>
    <tableColumn id="2" name="Mão de obra vinculada à execução contratual" dataDxfId="196"/>
    <tableColumn id="3" name="-" dataDxfId="195"/>
    <tableColumn id="4" name="Valor" totalsRowFunction="sum" dataDxfId="194">
      <calculatedColumnFormula>(SUM(D136:D140)+D125+D126)/(100%-C127)</calculatedColumnFormula>
    </tableColumn>
  </tableColumns>
  <tableStyleInfo name="TableStyleMedium14" showFirstColumn="0" showLastColumn="0" showRowStripes="1" showColumnStripes="0"/>
</table>
</file>

<file path=xl/tables/table65.xml><?xml version="1.0" encoding="utf-8"?>
<table xmlns="http://schemas.openxmlformats.org/spreadsheetml/2006/main" id="90" name="DadosGerais3191" displayName="DadosGerais3191" ref="F2:G6" totalsRowShown="0">
  <autoFilter ref="F2:G6">
    <filterColumn colId="0" hiddenButton="1"/>
    <filterColumn colId="1" hiddenButton="1"/>
  </autoFilter>
  <tableColumns count="2">
    <tableColumn id="1" name="Descrição" dataDxfId="193"/>
    <tableColumn id="2" name="Valor" dataDxfId="192"/>
  </tableColumns>
  <tableStyleInfo name="TableStyleMedium14" showFirstColumn="0" showLastColumn="0" showRowStripes="1" showColumnStripes="0"/>
</table>
</file>

<file path=xl/tables/table66.xml><?xml version="1.0" encoding="utf-8"?>
<table xmlns="http://schemas.openxmlformats.org/spreadsheetml/2006/main" id="91" name="DadosDesligamento3292" displayName="DadosDesligamento3292" ref="F9:G12" totalsRowShown="0">
  <autoFilter ref="F9:G12">
    <filterColumn colId="0" hiddenButton="1"/>
    <filterColumn colId="1" hiddenButton="1"/>
  </autoFilter>
  <tableColumns count="2">
    <tableColumn id="1" name="Tipos" dataDxfId="191"/>
    <tableColumn id="2" name="Percentual" dataDxfId="190"/>
  </tableColumns>
  <tableStyleInfo name="TableStyleMedium14" showFirstColumn="0" showLastColumn="0" showRowStripes="1" showColumnStripes="0"/>
</table>
</file>

<file path=xl/tables/table67.xml><?xml version="1.0" encoding="utf-8"?>
<table xmlns="http://schemas.openxmlformats.org/spreadsheetml/2006/main" id="92" name="CITL3393" displayName="CITL3393" ref="F15:G20" totalsRowShown="0">
  <autoFilter ref="F15:G20">
    <filterColumn colId="0" hiddenButton="1"/>
    <filterColumn colId="1" hiddenButton="1"/>
  </autoFilter>
  <tableColumns count="2">
    <tableColumn id="1" name="Descrição"/>
    <tableColumn id="2" name="Percentual" dataDxfId="189"/>
  </tableColumns>
  <tableStyleInfo name="TableStyleMedium14" showFirstColumn="0" showLastColumn="0" showRowStripes="1" showColumnStripes="0"/>
</table>
</file>

<file path=xl/tables/table68.xml><?xml version="1.0" encoding="utf-8"?>
<table xmlns="http://schemas.openxmlformats.org/spreadsheetml/2006/main" id="93" name="Table86894" displayName="Table86894" ref="A27:D29" totalsRowShown="0">
  <autoFilter ref="A27:D29">
    <filterColumn colId="0" hiddenButton="1"/>
    <filterColumn colId="1" hiddenButton="1"/>
    <filterColumn colId="2" hiddenButton="1"/>
    <filterColumn colId="3" hiddenButton="1"/>
  </autoFilter>
  <tableColumns count="4">
    <tableColumn id="1" name="Item" dataDxfId="188"/>
    <tableColumn id="2" name="Rubrica" dataDxfId="187"/>
    <tableColumn id="3" name="Base de Cálculo" dataDxfId="186"/>
    <tableColumn id="4" name="Memória de Cálculo" dataDxfId="185"/>
  </tableColumns>
  <tableStyleInfo name="TableStyleLight18" showFirstColumn="0" showLastColumn="0" showRowStripes="1" showColumnStripes="0"/>
</table>
</file>

<file path=xl/tables/table69.xml><?xml version="1.0" encoding="utf-8"?>
<table xmlns="http://schemas.openxmlformats.org/spreadsheetml/2006/main" id="94" name="Table8396995" displayName="Table8396995" ref="A44:D45" totalsRowShown="0">
  <autoFilter ref="A44:D45">
    <filterColumn colId="0" hiddenButton="1"/>
    <filterColumn colId="1" hiddenButton="1"/>
    <filterColumn colId="2" hiddenButton="1"/>
    <filterColumn colId="3" hiddenButton="1"/>
  </autoFilter>
  <tableColumns count="4">
    <tableColumn id="1" name="Item" dataDxfId="184"/>
    <tableColumn id="2" name="Rubrica" dataDxfId="183"/>
    <tableColumn id="3" name="Base de Cálculo" dataDxfId="182"/>
    <tableColumn id="4" name="Memória de Cálculo" dataDxfId="181"/>
  </tableColumns>
  <tableStyleInfo name="TableStyleLight18" showFirstColumn="0" showLastColumn="0" showRowStripes="1" showColumnStripes="0"/>
</table>
</file>

<file path=xl/tables/table7.xml><?xml version="1.0" encoding="utf-8"?>
<table xmlns="http://schemas.openxmlformats.org/spreadsheetml/2006/main" id="57" name="Módulo324" displayName="Módulo324" ref="A69:D76" totalsRowCount="1">
  <autoFilter ref="A69:D75">
    <filterColumn colId="0" hiddenButton="1"/>
    <filterColumn colId="1" hiddenButton="1"/>
    <filterColumn colId="2" hiddenButton="1"/>
    <filterColumn colId="3" hiddenButton="1"/>
  </autoFilter>
  <tableColumns count="4">
    <tableColumn id="1" name="3" totalsRowLabel="Total" dataDxfId="389"/>
    <tableColumn id="2" name="Provisão para Rescisão" dataDxfId="388"/>
    <tableColumn id="3" name="Comentário" dataDxfId="387"/>
    <tableColumn id="4" name="Valor" totalsRowFunction="sum" dataDxfId="386">
      <calculatedColumnFormula>-D58*Servente!G7</calculatedColumnFormula>
    </tableColumn>
  </tableColumns>
  <tableStyleInfo name="TableStyleMedium14" showFirstColumn="0" showLastColumn="0" showRowStripes="1" showColumnStripes="0"/>
</table>
</file>

<file path=xl/tables/table70.xml><?xml version="1.0" encoding="utf-8"?>
<table xmlns="http://schemas.openxmlformats.org/spreadsheetml/2006/main" id="95" name="Table8427096" displayName="Table8427096" ref="A57:D59" totalsRowShown="0">
  <autoFilter ref="A57:D59">
    <filterColumn colId="0" hiddenButton="1"/>
    <filterColumn colId="1" hiddenButton="1"/>
    <filterColumn colId="2" hiddenButton="1"/>
    <filterColumn colId="3" hiddenButton="1"/>
  </autoFilter>
  <tableColumns count="4">
    <tableColumn id="1" name="Item" dataDxfId="180"/>
    <tableColumn id="2" name="Rubrica" dataDxfId="179"/>
    <tableColumn id="3" name="Base de Cálculo" dataDxfId="178"/>
    <tableColumn id="4" name="Memória de Cálculo" dataDxfId="177"/>
  </tableColumns>
  <tableStyleInfo name="TableStyleLight18" showFirstColumn="0" showLastColumn="0" showRowStripes="1" showColumnStripes="0"/>
</table>
</file>

<file path=xl/tables/table71.xml><?xml version="1.0" encoding="utf-8"?>
<table xmlns="http://schemas.openxmlformats.org/spreadsheetml/2006/main" id="96" name="Table842377197" displayName="Table842377197" ref="A79:D85" totalsRowShown="0">
  <autoFilter ref="A79:D85">
    <filterColumn colId="0" hiddenButton="1"/>
    <filterColumn colId="1" hiddenButton="1"/>
    <filterColumn colId="2" hiddenButton="1"/>
    <filterColumn colId="3" hiddenButton="1"/>
  </autoFilter>
  <tableColumns count="4">
    <tableColumn id="1" name="Item" dataDxfId="176"/>
    <tableColumn id="2" name="Rubrica" dataDxfId="175"/>
    <tableColumn id="3" name="Base de Cálculo" dataDxfId="174"/>
    <tableColumn id="4" name="Memória de Cálculo" dataDxfId="173"/>
  </tableColumns>
  <tableStyleInfo name="TableStyleLight18" showFirstColumn="0" showLastColumn="0" showRowStripes="1" showColumnStripes="0"/>
</table>
</file>

<file path=xl/tables/table72.xml><?xml version="1.0" encoding="utf-8"?>
<table xmlns="http://schemas.openxmlformats.org/spreadsheetml/2006/main" id="97" name="Table842387298" displayName="Table842387298" ref="A99:D102" totalsRowShown="0">
  <autoFilter ref="A99:D102">
    <filterColumn colId="0" hiddenButton="1"/>
    <filterColumn colId="1" hiddenButton="1"/>
    <filterColumn colId="2" hiddenButton="1"/>
    <filterColumn colId="3" hiddenButton="1"/>
  </autoFilter>
  <tableColumns count="4">
    <tableColumn id="1" name="Item" dataDxfId="172"/>
    <tableColumn id="2" name="Rubrica" dataDxfId="171"/>
    <tableColumn id="3" name="Base de Cálculo" dataDxfId="170"/>
    <tableColumn id="4" name="Memória de Cálculo" dataDxfId="169"/>
  </tableColumns>
  <tableStyleInfo name="TableStyleLight18" showFirstColumn="0" showLastColumn="0" showRowStripes="1" showColumnStripes="0"/>
</table>
</file>

<file path=xl/tables/table73.xml><?xml version="1.0" encoding="utf-8"?>
<table xmlns="http://schemas.openxmlformats.org/spreadsheetml/2006/main" id="98" name="Table84238517399" displayName="Table84238517399" ref="A124:D128" totalsRowShown="0">
  <autoFilter ref="A124:D128">
    <filterColumn colId="0" hiddenButton="1"/>
    <filterColumn colId="1" hiddenButton="1"/>
    <filterColumn colId="2" hiddenButton="1"/>
    <filterColumn colId="3" hiddenButton="1"/>
  </autoFilter>
  <tableColumns count="4">
    <tableColumn id="1" name="Item" dataDxfId="168"/>
    <tableColumn id="2" name="Rubrica" dataDxfId="167"/>
    <tableColumn id="3" name="Base de Cálculo" dataDxfId="166"/>
    <tableColumn id="4" name="Memória de Cálculo" dataDxfId="165"/>
  </tableColumns>
  <tableStyleInfo name="TableStyleLight18" showFirstColumn="0" showLastColumn="0" showRowStripes="1" showColumnStripes="0"/>
</table>
</file>

<file path=xl/tables/table74.xml><?xml version="1.0" encoding="utf-8"?>
<table xmlns="http://schemas.openxmlformats.org/spreadsheetml/2006/main" id="99" name="Tabela6100" displayName="Tabela6100" ref="F23:G25" totalsRowShown="0">
  <autoFilter ref="F23:G25">
    <filterColumn colId="0" hiddenButton="1"/>
    <filterColumn colId="1" hiddenButton="1"/>
  </autoFilter>
  <tableColumns count="2">
    <tableColumn id="1" name="Descrição"/>
    <tableColumn id="2" name="Valor" dataDxfId="164">
      <calculatedColumnFormula>((D16*(1+(1/3))*(100%+C40))/12)/30</calculatedColumnFormula>
    </tableColumn>
  </tableColumns>
  <tableStyleInfo name="TableStyleMedium14" showFirstColumn="0" showLastColumn="0" showRowStripes="1" showColumnStripes="0"/>
</table>
</file>

<file path=xl/tables/table75.xml><?xml version="1.0" encoding="utf-8"?>
<table xmlns="http://schemas.openxmlformats.org/spreadsheetml/2006/main" id="153" name="Submódulo2.388_76137142154" displayName="Submódulo2.388_76137142154" ref="A43:D49" totalsRowCount="1">
  <autoFilter ref="A43:D48"/>
  <tableColumns count="4">
    <tableColumn id="1" name="2.3" totalsRowLabel="Total" dataDxfId="163" totalsRowDxfId="52"/>
    <tableColumn id="2" name="Benefícios Mensais e Diários" dataDxfId="162"/>
    <tableColumn id="3" name="Comentário" dataDxfId="161"/>
    <tableColumn id="4" name="Valor" totalsRowDxfId="51"/>
  </tableColumns>
  <tableStyleInfo name="TableStyleMedium14" showFirstColumn="0" showLastColumn="0" showRowStripes="1" showColumnStripes="0"/>
</table>
</file>

<file path=xl/tables/table76.xml><?xml version="1.0" encoding="utf-8"?>
<table xmlns="http://schemas.openxmlformats.org/spreadsheetml/2006/main" id="154" name="Módulo32410_102139140155" displayName="Módulo32410_102139140155" ref="A59:D66" totalsRowCount="1">
  <autoFilter ref="A59:D65"/>
  <tableColumns count="4">
    <tableColumn id="1" name="3" totalsRowLabel="Total" dataDxfId="160" totalsRowDxfId="20"/>
    <tableColumn id="2" name="Provisão para Rescisão" dataDxfId="159"/>
    <tableColumn id="3" name="Comentário" dataDxfId="158"/>
    <tableColumn id="4" name="Valor" totalsRowFunction="custom" totalsRowDxfId="19">
      <calculatedColumnFormula>TRUNC(($D$17*C60),2)</calculatedColumnFormula>
      <totalsRowFormula>TRUNC(SUM(D60:D65),2)</totalsRowFormula>
    </tableColumn>
  </tableColumns>
  <tableStyleInfo name="TableStyleMedium14" showFirstColumn="0" showLastColumn="0" showRowStripes="1" showColumnStripes="0"/>
</table>
</file>

<file path=xl/tables/table77.xml><?xml version="1.0" encoding="utf-8"?>
<table xmlns="http://schemas.openxmlformats.org/spreadsheetml/2006/main" id="155" name="ResumoMódulo299_101138141156" displayName="ResumoMódulo299_101138141156" ref="A52:D56" totalsRowCount="1">
  <autoFilter ref="A52:D55"/>
  <tableColumns count="4">
    <tableColumn id="1" name="2" totalsRowLabel="Total" dataDxfId="157"/>
    <tableColumn id="2" name="Encargos e Benefícios Anuais, Mensais e Diários" dataDxfId="156"/>
    <tableColumn id="3" name="Comentário" dataDxfId="155"/>
    <tableColumn id="4" name="Valor" totalsRowFunction="custom">
      <calculatedColumnFormula>D47</calculatedColumnFormula>
      <totalsRowFormula>TRUNC(SUM(D53:D55),2)</totalsRowFormula>
    </tableColumn>
  </tableColumns>
  <tableStyleInfo name="TableStyleMedium14" showFirstColumn="0" showLastColumn="0" showRowStripes="1" showColumnStripes="0"/>
</table>
</file>

<file path=xl/tables/table78.xml><?xml version="1.0" encoding="utf-8"?>
<table xmlns="http://schemas.openxmlformats.org/spreadsheetml/2006/main" id="156" name="Table42522_50133145157" displayName="Table42522_50133145157" ref="A2:D7" totalsRowShown="0">
  <tableColumns count="4">
    <tableColumn id="1" name="Item" dataDxfId="154"/>
    <tableColumn id="2" name="Descrição" dataDxfId="153"/>
    <tableColumn id="3" name="Comentário" dataDxfId="152"/>
    <tableColumn id="4" name="Valor" dataDxfId="151"/>
  </tableColumns>
  <tableStyleInfo name="TableStyleMedium14" showFirstColumn="0" showLastColumn="0" showRowStripes="1" showColumnStripes="0"/>
</table>
</file>

<file path=xl/tables/table79.xml><?xml version="1.0" encoding="utf-8"?>
<table xmlns="http://schemas.openxmlformats.org/spreadsheetml/2006/main" id="157" name="Submódulo4.22612_31129147158" displayName="Submódulo4.22612_31129147158" ref="A85:D87" totalsRowCount="1">
  <autoFilter ref="A85:D86"/>
  <tableColumns count="4">
    <tableColumn id="1" name="4.2" totalsRowLabel="Total" dataDxfId="150"/>
    <tableColumn id="2" name="Substituto na Intrajornada " dataDxfId="149"/>
    <tableColumn id="3" name="Comentário" dataDxfId="148"/>
    <tableColumn id="4" name="Valor" totalsRowFunction="sum" dataDxfId="147"/>
  </tableColumns>
  <tableStyleInfo name="TableStyleMedium14" showFirstColumn="0" showLastColumn="0" showRowStripes="1" showColumnStripes="0"/>
</table>
</file>

<file path=xl/tables/table8.xml><?xml version="1.0" encoding="utf-8"?>
<table xmlns="http://schemas.openxmlformats.org/spreadsheetml/2006/main" id="58" name="Submódulo4.125" displayName="Submódulo4.125" ref="A89:D96" totalsRowCount="1">
  <autoFilter ref="A89:D95">
    <filterColumn colId="0" hiddenButton="1"/>
    <filterColumn colId="1" hiddenButton="1"/>
    <filterColumn colId="2" hiddenButton="1"/>
    <filterColumn colId="3" hiddenButton="1"/>
  </autoFilter>
  <tableColumns count="4">
    <tableColumn id="1" name="4.1" totalsRowLabel="Total" dataDxfId="385"/>
    <tableColumn id="2" name="Substituto nas Ausências Legais" dataDxfId="384"/>
    <tableColumn id="3" name="Dias de ausência" totalsRowFunction="sum" dataDxfId="383"/>
    <tableColumn id="4" name="Valor" totalsRowFunction="sum" dataDxfId="382">
      <calculatedColumnFormula>(C90*G$24)/12</calculatedColumnFormula>
    </tableColumn>
  </tableColumns>
  <tableStyleInfo name="TableStyleMedium14" showFirstColumn="0" showLastColumn="0" showRowStripes="1" showColumnStripes="0"/>
</table>
</file>

<file path=xl/tables/table80.xml><?xml version="1.0" encoding="utf-8"?>
<table xmlns="http://schemas.openxmlformats.org/spreadsheetml/2006/main" id="158" name="Submódulo4.12511_4132144159" displayName="Submódulo4.12511_4132144159" ref="A75:D82" totalsRowCount="1">
  <autoFilter ref="A75:D81"/>
  <tableColumns count="4">
    <tableColumn id="1" name="4.1" totalsRowLabel="Total" dataDxfId="146" totalsRowDxfId="18"/>
    <tableColumn id="2" name="Substituto nas Ausências Legais" dataDxfId="145"/>
    <tableColumn id="3" name="Dias de ausência" totalsRowFunction="sum" dataDxfId="144" totalsRowDxfId="17" dataCellStyle="Porcentagem"/>
    <tableColumn id="4" name="Valor" totalsRowFunction="custom" totalsRowDxfId="16">
      <calculatedColumnFormula>TRUNC(($D$71*C76),2)</calculatedColumnFormula>
      <totalsRowFormula>TRUNC(SUM(D76:D81),2)</totalsRowFormula>
    </tableColumn>
  </tableColumns>
  <tableStyleInfo name="TableStyleMedium14" showFirstColumn="0" showLastColumn="0" showRowStripes="1" showColumnStripes="0"/>
</table>
</file>

<file path=xl/tables/table81.xml><?xml version="1.0" encoding="utf-8"?>
<table xmlns="http://schemas.openxmlformats.org/spreadsheetml/2006/main" id="159" name="Submódulo2.146_74135143160" displayName="Submódulo2.146_74135143160" ref="A21:D24" totalsRowCount="1">
  <autoFilter ref="A21:D23"/>
  <tableColumns count="4">
    <tableColumn id="1" name="2.1" totalsRowLabel="Total" dataDxfId="143"/>
    <tableColumn id="2" name="13º (décimo terceiro) Salário e Adicional de Férias" dataDxfId="142"/>
    <tableColumn id="3" name="Comentário" dataDxfId="141">
      <calculatedColumnFormula>(((1+1/3)/12))</calculatedColumnFormula>
    </tableColumn>
    <tableColumn id="4" name="Valor" totalsRowFunction="custom">
      <calculatedColumnFormula>TRUNC($D$17*C22,2)</calculatedColumnFormula>
      <totalsRowFormula>TRUNC(SUM(D22:D23),2)</totalsRowFormula>
    </tableColumn>
  </tableColumns>
  <tableStyleInfo name="TableStyleMedium14" showFirstColumn="0" showLastColumn="0" showRowStripes="1" showColumnStripes="0"/>
</table>
</file>

<file path=xl/tables/table82.xml><?xml version="1.0" encoding="utf-8"?>
<table xmlns="http://schemas.openxmlformats.org/spreadsheetml/2006/main" id="160" name="Módulo135_51134146161" displayName="Módulo135_51134146161" ref="A10:D17" totalsRowCount="1">
  <autoFilter ref="A10:D16"/>
  <tableColumns count="4">
    <tableColumn id="1" name="1" totalsRowLabel="Total" dataDxfId="140"/>
    <tableColumn id="2" name="Composição da Remuneração" dataDxfId="139"/>
    <tableColumn id="3" name="Comentário" dataDxfId="138"/>
    <tableColumn id="4" name="Valor" totalsRowFunction="custom">
      <totalsRowFormula>TRUNC(SUM(D11:D16),2)</totalsRowFormula>
    </tableColumn>
  </tableColumns>
  <tableStyleInfo name="TableStyleMedium14" showFirstColumn="0" showLastColumn="0" showRowStripes="1" showColumnStripes="0"/>
</table>
</file>

<file path=xl/tables/table83.xml><?xml version="1.0" encoding="utf-8"?>
<table xmlns="http://schemas.openxmlformats.org/spreadsheetml/2006/main" id="161" name="ResumoMódulo42713_30130148162" displayName="ResumoMódulo42713_30130148162" ref="A90:D93" totalsRowCount="1">
  <autoFilter ref="A90:D92"/>
  <tableColumns count="4">
    <tableColumn id="1" name="4" totalsRowLabel="Total" dataDxfId="137"/>
    <tableColumn id="2" name="Custo de Reposição do Profissional Ausente" dataDxfId="136"/>
    <tableColumn id="3" name="Comentário" dataDxfId="135"/>
    <tableColumn id="4" name="Valor" totalsRowFunction="custom">
      <calculatedColumnFormula>Submódulo4.22612_31129147158[[#Totals],[Valor]]</calculatedColumnFormula>
      <totalsRowFormula>TRUNC(SUM(D91:D92),2)</totalsRowFormula>
    </tableColumn>
  </tableColumns>
  <tableStyleInfo name="TableStyleMedium14" showFirstColumn="0" showLastColumn="0" showRowStripes="1" showColumnStripes="0"/>
</table>
</file>

<file path=xl/tables/table84.xml><?xml version="1.0" encoding="utf-8"?>
<table xmlns="http://schemas.openxmlformats.org/spreadsheetml/2006/main" id="162" name="Submódulo2.267_75136149163" displayName="Submódulo2.267_75136149163" ref="A31:D40" totalsRowCount="1">
  <autoFilter ref="A31:D39"/>
  <tableColumns count="4">
    <tableColumn id="1" name="2.2" totalsRowLabel="Total" dataDxfId="134"/>
    <tableColumn id="2" name="GPS, FGTS e outras contribuições" dataDxfId="133"/>
    <tableColumn id="3" name="Percentual" totalsRowFunction="sum" dataDxfId="132"/>
    <tableColumn id="4" name="Valor " totalsRowFunction="custom">
      <calculatedColumnFormula>TRUNC(($D$28*C32),2)</calculatedColumnFormula>
      <totalsRowFormula>TRUNC(SUM(D32:D39),2)</totalsRowFormula>
    </tableColumn>
  </tableColumns>
  <tableStyleInfo name="TableStyleMedium14" showFirstColumn="0" showLastColumn="0" showRowStripes="1" showColumnStripes="0"/>
</table>
</file>

<file path=xl/tables/table85.xml><?xml version="1.0" encoding="utf-8"?>
<table xmlns="http://schemas.openxmlformats.org/spreadsheetml/2006/main" id="163" name="ResumoPosto3016_33127152164" displayName="ResumoPosto3016_33127152164" ref="A121:D129">
  <autoFilter ref="A121:D129"/>
  <tableColumns count="4">
    <tableColumn id="1" name="Item" totalsRowLabel="Total" dataDxfId="131"/>
    <tableColumn id="2" name="Mão de obra vinculada à execução contratual" dataDxfId="130"/>
    <tableColumn id="3" name="-" dataDxfId="129"/>
    <tableColumn id="4" name="Valor" totalsRowFunction="sum" dataDxfId="128">
      <calculatedColumnFormula>TRUNC((SUM(D115:D119)+D121),2)</calculatedColumnFormula>
    </tableColumn>
  </tableColumns>
  <tableStyleInfo name="TableStyleMedium14" showFirstColumn="0" showLastColumn="0" showRowStripes="1" showColumnStripes="0"/>
</table>
</file>

<file path=xl/tables/table86.xml><?xml version="1.0" encoding="utf-8"?>
<table xmlns="http://schemas.openxmlformats.org/spreadsheetml/2006/main" id="164" name="Módulo62915_34128151165" displayName="Módulo62915_34128151165" ref="A111:D118" totalsRowCount="1">
  <tableColumns count="4">
    <tableColumn id="1" name="6" totalsRowLabel="Total" dataDxfId="127" totalsRowDxfId="15"/>
    <tableColumn id="2" name="Custos Indiretos, Tributos e Lucro" dataDxfId="126"/>
    <tableColumn id="3" name="Percentual" dataDxfId="125" totalsRowDxfId="14"/>
    <tableColumn id="4" name="Valor" totalsRowFunction="custom" totalsRowDxfId="13">
      <calculatedColumnFormula>TRUNC(($G$114*C112),2)</calculatedColumnFormula>
      <totalsRowFormula>TRUNC(SUM(D112:D114),2)</totalsRowFormula>
    </tableColumn>
  </tableColumns>
  <tableStyleInfo name="TableStyleMedium14" showFirstColumn="0" showLastColumn="0" showRowStripes="1" showColumnStripes="0"/>
</table>
</file>

<file path=xl/tables/table87.xml><?xml version="1.0" encoding="utf-8"?>
<table xmlns="http://schemas.openxmlformats.org/spreadsheetml/2006/main" id="165" name="DadosGerais3117_35131150166" displayName="DadosGerais3117_35131150166" ref="F2:G6" totalsRowShown="0">
  <autoFilter ref="F2:G6"/>
  <tableColumns count="2">
    <tableColumn id="1" name="Descrição" dataDxfId="124"/>
    <tableColumn id="2" name="Valor" dataDxfId="123"/>
  </tableColumns>
  <tableStyleInfo name="TableStyleMedium14" showFirstColumn="0" showLastColumn="0" showRowStripes="1" showColumnStripes="0"/>
</table>
</file>

<file path=xl/tables/table88.xml><?xml version="1.0" encoding="utf-8"?>
<table xmlns="http://schemas.openxmlformats.org/spreadsheetml/2006/main" id="166" name="Módulo52814_32126153167" displayName="Módulo52814_32126153167" ref="A96:D101" totalsRowCount="1">
  <autoFilter ref="A96:D100"/>
  <tableColumns count="4">
    <tableColumn id="1" name="5" totalsRowLabel="Total" dataDxfId="122" totalsRowDxfId="50"/>
    <tableColumn id="2" name="Insumos Diversos" dataDxfId="121"/>
    <tableColumn id="3" name="Comentário" dataDxfId="120"/>
    <tableColumn id="4" name="Valor" totalsRowDxfId="49"/>
  </tableColumns>
  <tableStyleInfo name="TableStyleMedium14" showFirstColumn="0" showLastColumn="0" showRowStripes="1" showColumnStripes="0"/>
</table>
</file>

<file path=xl/tables/table89.xml><?xml version="1.0" encoding="utf-8"?>
<table xmlns="http://schemas.openxmlformats.org/spreadsheetml/2006/main" id="42" name="Table43" displayName="Table43" ref="A9:H14" totalsRowCount="1">
  <autoFilter ref="A9:H13">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name="Item" totalsRowLabel="Total" dataDxfId="119"/>
    <tableColumn id="2" name="Peça" dataDxfId="118"/>
    <tableColumn id="3" name="Descrição" dataDxfId="117"/>
    <tableColumn id="4" name="UNIDADE" dataDxfId="116"/>
    <tableColumn id="5" name="Valor Médio Unitário (R$)" dataDxfId="115"/>
    <tableColumn id="6" name="Quant. Anual" dataDxfId="114"/>
    <tableColumn id="7" name="Valor Anual/ Empregado (R$)" dataDxfId="113">
      <calculatedColumnFormula>TRUNC(F10*E10,2)</calculatedColumnFormula>
    </tableColumn>
    <tableColumn id="8" name="Valor Mensal/ Empregado" totalsRowFunction="custom">
      <calculatedColumnFormula>TRUNC(G10/12,2)</calculatedColumnFormula>
      <totalsRowFormula>TRUNC(SUM(H10:H13),2)</totalsRowFormula>
    </tableColumn>
  </tableColumns>
  <tableStyleInfo name="TableStyleMedium14" showFirstColumn="0" showLastColumn="0" showRowStripes="1" showColumnStripes="0"/>
</table>
</file>

<file path=xl/tables/table9.xml><?xml version="1.0" encoding="utf-8"?>
<table xmlns="http://schemas.openxmlformats.org/spreadsheetml/2006/main" id="59" name="Submódulo4.226" displayName="Submódulo4.226" ref="A105:D107" totalsRowCount="1">
  <autoFilter ref="A105:D106">
    <filterColumn colId="0" hiddenButton="1"/>
    <filterColumn colId="1" hiddenButton="1"/>
    <filterColumn colId="2" hiddenButton="1"/>
    <filterColumn colId="3" hiddenButton="1"/>
  </autoFilter>
  <tableColumns count="4">
    <tableColumn id="1" name="4.2" totalsRowLabel="Total" dataDxfId="381"/>
    <tableColumn id="2" name="Substituto na Intrajornada " dataDxfId="380"/>
    <tableColumn id="3" name="Comentário" dataDxfId="379"/>
    <tableColumn id="4" name="Valor" totalsRowFunction="sum" dataDxfId="378"/>
  </tableColumns>
  <tableStyleInfo name="TableStyleMedium14" showFirstColumn="0" showLastColumn="0" showRowStripes="1" showColumnStripes="0"/>
</table>
</file>

<file path=xl/tables/table90.xml><?xml version="1.0" encoding="utf-8"?>
<table xmlns="http://schemas.openxmlformats.org/spreadsheetml/2006/main" id="43" name="Table4344" displayName="Table4344" ref="A17:G22" totalsRowCount="1">
  <autoFilter ref="A17:G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Item" totalsRowLabel="Total" dataDxfId="112"/>
    <tableColumn id="2" name="Peça" dataDxfId="111"/>
    <tableColumn id="3" name="Descrição" dataDxfId="110"/>
    <tableColumn id="4" name="Valor Médio Unitário (R$)" dataDxfId="109"/>
    <tableColumn id="5" name="Quant. Anual" dataDxfId="108"/>
    <tableColumn id="6" name="Valor Anual/ Empregado (R$)" dataDxfId="107">
      <calculatedColumnFormula>Table4344[[#This Row],[Valor Médio Unitário (R$)]]*Table4344[[#This Row],[Quant. Anual]]</calculatedColumnFormula>
    </tableColumn>
    <tableColumn id="7" name="Valor Mensal/ Empregado" totalsRowFunction="sum" dataDxfId="106">
      <calculatedColumnFormula>Table4344[[#This Row],[Valor Anual/ Empregado (R$)]]/12</calculatedColumnFormula>
    </tableColumn>
  </tableColumns>
  <tableStyleInfo name="TableStyleMedium14" showFirstColumn="0" showLastColumn="0" showRowStripes="1" showColumnStripes="0"/>
</table>
</file>

<file path=xl/tables/table91.xml><?xml version="1.0" encoding="utf-8"?>
<table xmlns="http://schemas.openxmlformats.org/spreadsheetml/2006/main" id="45" name="Table45" displayName="Table45" ref="A25:H30" totalsRowCount="1">
  <autoFilter ref="A25:H29">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name="Item" totalsRowLabel="Total" dataDxfId="105"/>
    <tableColumn id="2" name="Descrição" dataDxfId="104"/>
    <tableColumn id="3" name="Unidade" dataDxfId="103" totalsRowDxfId="28"/>
    <tableColumn id="4" name="UNIDADE2" dataDxfId="102"/>
    <tableColumn id="5" name="Valor Médio Unitário (R$)" dataDxfId="101" totalsRowDxfId="27"/>
    <tableColumn id="6" name="Quant. Anual" dataDxfId="100" totalsRowDxfId="26"/>
    <tableColumn id="7" name="Valor Total Anual (R$)" dataDxfId="99" totalsRowDxfId="25">
      <calculatedColumnFormula>TRUNC(F26*E26,2)</calculatedColumnFormula>
    </tableColumn>
    <tableColumn id="8" name="Valor Total Mensal (R$)" totalsRowFunction="custom" totalsRowDxfId="24">
      <calculatedColumnFormula>TRUNC(G26/12,2)</calculatedColumnFormula>
      <totalsRowFormula>TRUNC(SUM(H26:H29),2)</totalsRowFormula>
    </tableColumn>
  </tableColumns>
  <tableStyleInfo name="TableStyleMedium14" showFirstColumn="0" showLastColumn="0" showRowStripes="1" showColumnStripes="0"/>
</table>
</file>

<file path=xl/tables/table92.xml><?xml version="1.0" encoding="utf-8"?>
<table xmlns="http://schemas.openxmlformats.org/spreadsheetml/2006/main" id="167" name="Table43_168" displayName="Table43_168" ref="A2:H7" totalsRowCount="1">
  <autoFilter ref="A2:H6"/>
  <tableColumns count="8">
    <tableColumn id="1" name="Item" totalsRowLabel="Total" dataDxfId="98"/>
    <tableColumn id="2" name="Peça" dataDxfId="97"/>
    <tableColumn id="3" name="Descrição" dataDxfId="96"/>
    <tableColumn id="4" name="Unidade" dataDxfId="95"/>
    <tableColumn id="5" name="Valor Médio Unitário (R$)" dataDxfId="94"/>
    <tableColumn id="6" name="Quant. Anual" dataDxfId="93"/>
    <tableColumn id="7" name="Valor Anual/ Empregado (R$)" dataDxfId="92">
      <calculatedColumnFormula>TRUNC(F3*E3,2)</calculatedColumnFormula>
    </tableColumn>
    <tableColumn id="8" name="Valor Mensal/ Empregado" totalsRowFunction="custom">
      <calculatedColumnFormula>TRUNC(G3/12,2)</calculatedColumnFormula>
      <totalsRowFormula>TRUNC(SUM(H3:H6),2)</totalsRowFormula>
    </tableColumn>
  </tableColumns>
  <tableStyleInfo name="TableStyleMedium14" showFirstColumn="0" showLastColumn="0" showRowStripes="1" showColumnStripes="0"/>
</table>
</file>

<file path=xl/tables/table93.xml><?xml version="1.0" encoding="utf-8"?>
<table xmlns="http://schemas.openxmlformats.org/spreadsheetml/2006/main" id="44" name="Table44" displayName="Table44" ref="A2:F33" totalsRowCount="1">
  <autoFilter ref="A2:F32">
    <filterColumn colId="0" hiddenButton="1"/>
    <filterColumn colId="1" hiddenButton="1"/>
    <filterColumn colId="2" hiddenButton="1"/>
    <filterColumn colId="3" hiddenButton="1"/>
    <filterColumn colId="4" hiddenButton="1"/>
    <filterColumn colId="5" hiddenButton="1"/>
  </autoFilter>
  <tableColumns count="6">
    <tableColumn id="1" name="Item" totalsRowLabel="Total" dataDxfId="91" totalsRowDxfId="48"/>
    <tableColumn id="2" name="Descrição" dataDxfId="90" totalsRowDxfId="47"/>
    <tableColumn id="3" name="Unidade" dataDxfId="89" totalsRowDxfId="46"/>
    <tableColumn id="4" name="Valor Médio Unitário" dataDxfId="88" totalsRowDxfId="45"/>
    <tableColumn id="5" name="Quant." dataDxfId="87" totalsRowDxfId="44"/>
    <tableColumn id="6" name="Valor Total (R$)" totalsRowFunction="custom" totalsRowDxfId="43">
      <calculatedColumnFormula>TRUNC(E3*D3,2)</calculatedColumnFormula>
      <totalsRowFormula>TRUNC(SUM(F3:F32),2)</totalsRowFormula>
    </tableColumn>
  </tableColumns>
  <tableStyleInfo name="TableStyleMedium14" showFirstColumn="0" showLastColumn="0" showRowStripes="1" showColumnStripes="0"/>
</table>
</file>

<file path=xl/tables/table94.xml><?xml version="1.0" encoding="utf-8"?>
<table xmlns="http://schemas.openxmlformats.org/spreadsheetml/2006/main" id="46" name="Table46" displayName="Table46" ref="A3:F53">
  <tableColumns count="6">
    <tableColumn id="1" name="Item" totalsRowLabel="46" dataDxfId="86"/>
    <tableColumn id="2" name="Descrição" totalsRowLabel="Refil para saboneteira em ABS ALTO IMPACTO para Álcool Gel ou Sabonete Líquido em Sachê ou Refil 5-J7AI" dataDxfId="85"/>
    <tableColumn id="3" name="Unidade" dataDxfId="84"/>
    <tableColumn id="4" name="  Valor Médio Unitário (R$) " dataDxfId="83"/>
    <tableColumn id="5" name="QuantidadeMensal" dataDxfId="82"/>
    <tableColumn id="6" name="Valor Total Mensal (R$)" dataDxfId="81"/>
  </tableColumns>
  <tableStyleInfo name="TableStyleMedium14" showFirstColumn="0" showLastColumn="0" showRowStripes="1" showColumnStripes="0"/>
</table>
</file>

<file path=xl/tables/table95.xml><?xml version="1.0" encoding="utf-8"?>
<table xmlns="http://schemas.openxmlformats.org/spreadsheetml/2006/main" id="2" name="QuadroAmbientes" displayName="QuadroAmbientes" ref="A2:D43" totalsRowShown="0">
  <autoFilter ref="A2:D43">
    <filterColumn colId="0" hiddenButton="1"/>
    <filterColumn colId="1" hiddenButton="1"/>
    <filterColumn colId="2" hiddenButton="1"/>
    <filterColumn colId="3" hiddenButton="1"/>
  </autoFilter>
  <tableColumns count="4">
    <tableColumn id="1" name="Item" dataDxfId="80"/>
    <tableColumn id="2" name="Descrição" dataDxfId="79"/>
    <tableColumn id="3" name="Tipo de Área" dataDxfId="78"/>
    <tableColumn id="4" name="Metragem (m²)" dataDxfId="77"/>
  </tableColumns>
  <tableStyleInfo name="TableStyleMedium14" showFirstColumn="0" showLastColumn="0" showRowStripes="1" showColumnStripes="0"/>
</table>
</file>

<file path=xl/tables/table96.xml><?xml version="1.0" encoding="utf-8"?>
<table xmlns="http://schemas.openxmlformats.org/spreadsheetml/2006/main" id="27" name="Table328" displayName="Table328" ref="A2:N20" totalsRowCount="1">
  <tableColumns count="14">
    <tableColumn id="1" name="Descrição" totalsRowLabel="Total" dataDxfId="76" totalsRowDxfId="42"/>
    <tableColumn id="2" name="Tipo" dataDxfId="75" totalsRowDxfId="41"/>
    <tableColumn id="3" name="Quantidade" dataDxfId="74" totalsRowDxfId="40"/>
    <tableColumn id="4" name="Frequência no mês/semestre" dataDxfId="73" totalsRowDxfId="39"/>
    <tableColumn id="5" name="Jornada de Trabalho no mês/Semestre" dataDxfId="72" totalsRowDxfId="38"/>
    <tableColumn id="6" name="Produtividade Mínima" dataDxfId="71" totalsRowDxfId="37"/>
    <tableColumn id="7" name="Produtividade Máxima" dataDxfId="70" totalsRowDxfId="36"/>
    <tableColumn id="8" name="Produtividade Média" dataDxfId="69" totalsRowDxfId="35"/>
    <tableColumn id="9" name="Produtividade Personalizada" dataDxfId="68" totalsRowDxfId="34"/>
    <tableColumn id="10" name="Ki" dataDxfId="67" totalsRowDxfId="33"/>
    <tableColumn id="11" name="Qtde. Serventes" totalsRowFunction="sum" dataDxfId="66" totalsRowDxfId="32"/>
    <tableColumn id="12" name="Ki ajustado" totalsRowFunction="custom" totalsRowDxfId="31">
      <totalsRowFormula>ROUND(K20,0)</totalsRowFormula>
    </tableColumn>
    <tableColumn id="13" name="Qte ajustada" totalsRowFunction="sum" dataDxfId="65" totalsRowDxfId="30"/>
    <tableColumn id="14" name="Produtividade ajustada" dataDxfId="64" totalsRowDxfId="29"/>
  </tableColumns>
  <tableStyleInfo name="TableStyleMedium14"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comments" Target="../comments1.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vmlDrawing" Target="../drawings/vmlDrawing1.vml"/><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9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8" Type="http://schemas.openxmlformats.org/officeDocument/2006/relationships/table" Target="../tables/table30.xml"/><Relationship Id="rId13" Type="http://schemas.openxmlformats.org/officeDocument/2006/relationships/table" Target="../tables/table35.xml"/><Relationship Id="rId3" Type="http://schemas.openxmlformats.org/officeDocument/2006/relationships/table" Target="../tables/table25.xml"/><Relationship Id="rId7" Type="http://schemas.openxmlformats.org/officeDocument/2006/relationships/table" Target="../tables/table29.xml"/><Relationship Id="rId12" Type="http://schemas.openxmlformats.org/officeDocument/2006/relationships/table" Target="../tables/table34.xml"/><Relationship Id="rId2" Type="http://schemas.openxmlformats.org/officeDocument/2006/relationships/table" Target="../tables/table24.xml"/><Relationship Id="rId16" Type="http://schemas.openxmlformats.org/officeDocument/2006/relationships/comments" Target="../comments2.xml"/><Relationship Id="rId1" Type="http://schemas.openxmlformats.org/officeDocument/2006/relationships/vmlDrawing" Target="../drawings/vmlDrawing2.vml"/><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5" Type="http://schemas.openxmlformats.org/officeDocument/2006/relationships/table" Target="../tables/table3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s>
</file>

<file path=xl/worksheets/_rels/sheet3.xml.rels><?xml version="1.0" encoding="UTF-8" standalone="yes"?>
<Relationships xmlns="http://schemas.openxmlformats.org/package/2006/relationships"><Relationship Id="rId8" Type="http://schemas.openxmlformats.org/officeDocument/2006/relationships/table" Target="../tables/table44.xml"/><Relationship Id="rId13" Type="http://schemas.openxmlformats.org/officeDocument/2006/relationships/table" Target="../tables/table49.xml"/><Relationship Id="rId3" Type="http://schemas.openxmlformats.org/officeDocument/2006/relationships/table" Target="../tables/table39.xml"/><Relationship Id="rId7" Type="http://schemas.openxmlformats.org/officeDocument/2006/relationships/table" Target="../tables/table43.xml"/><Relationship Id="rId12" Type="http://schemas.openxmlformats.org/officeDocument/2006/relationships/table" Target="../tables/table48.xml"/><Relationship Id="rId2" Type="http://schemas.openxmlformats.org/officeDocument/2006/relationships/table" Target="../tables/table38.xml"/><Relationship Id="rId16" Type="http://schemas.openxmlformats.org/officeDocument/2006/relationships/comments" Target="../comments3.xml"/><Relationship Id="rId1" Type="http://schemas.openxmlformats.org/officeDocument/2006/relationships/vmlDrawing" Target="../drawings/vmlDrawing3.vml"/><Relationship Id="rId6" Type="http://schemas.openxmlformats.org/officeDocument/2006/relationships/table" Target="../tables/table42.xml"/><Relationship Id="rId11" Type="http://schemas.openxmlformats.org/officeDocument/2006/relationships/table" Target="../tables/table47.xml"/><Relationship Id="rId5" Type="http://schemas.openxmlformats.org/officeDocument/2006/relationships/table" Target="../tables/table41.xml"/><Relationship Id="rId15" Type="http://schemas.openxmlformats.org/officeDocument/2006/relationships/table" Target="../tables/table51.xml"/><Relationship Id="rId10" Type="http://schemas.openxmlformats.org/officeDocument/2006/relationships/table" Target="../tables/table46.xml"/><Relationship Id="rId4" Type="http://schemas.openxmlformats.org/officeDocument/2006/relationships/table" Target="../tables/table40.xml"/><Relationship Id="rId9" Type="http://schemas.openxmlformats.org/officeDocument/2006/relationships/table" Target="../tables/table45.xml"/><Relationship Id="rId14" Type="http://schemas.openxmlformats.org/officeDocument/2006/relationships/table" Target="../tables/table5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21" Type="http://schemas.openxmlformats.org/officeDocument/2006/relationships/table" Target="../tables/table71.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5" Type="http://schemas.openxmlformats.org/officeDocument/2006/relationships/comments" Target="../comments4.xml"/><Relationship Id="rId2" Type="http://schemas.openxmlformats.org/officeDocument/2006/relationships/table" Target="../tables/table52.xml"/><Relationship Id="rId16" Type="http://schemas.openxmlformats.org/officeDocument/2006/relationships/table" Target="../tables/table66.xml"/><Relationship Id="rId20" Type="http://schemas.openxmlformats.org/officeDocument/2006/relationships/table" Target="../tables/table70.xml"/><Relationship Id="rId1" Type="http://schemas.openxmlformats.org/officeDocument/2006/relationships/vmlDrawing" Target="../drawings/vmlDrawing4.vml"/><Relationship Id="rId6" Type="http://schemas.openxmlformats.org/officeDocument/2006/relationships/table" Target="../tables/table56.xml"/><Relationship Id="rId11" Type="http://schemas.openxmlformats.org/officeDocument/2006/relationships/table" Target="../tables/table61.xml"/><Relationship Id="rId24" Type="http://schemas.openxmlformats.org/officeDocument/2006/relationships/table" Target="../tables/table74.xml"/><Relationship Id="rId5" Type="http://schemas.openxmlformats.org/officeDocument/2006/relationships/table" Target="../tables/table55.xml"/><Relationship Id="rId15" Type="http://schemas.openxmlformats.org/officeDocument/2006/relationships/table" Target="../tables/table65.xml"/><Relationship Id="rId23" Type="http://schemas.openxmlformats.org/officeDocument/2006/relationships/table" Target="../tables/table73.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 Id="rId22" Type="http://schemas.openxmlformats.org/officeDocument/2006/relationships/table" Target="../tables/table7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81.xml"/><Relationship Id="rId13" Type="http://schemas.openxmlformats.org/officeDocument/2006/relationships/table" Target="../tables/table86.xml"/><Relationship Id="rId3" Type="http://schemas.openxmlformats.org/officeDocument/2006/relationships/table" Target="../tables/table76.xml"/><Relationship Id="rId7" Type="http://schemas.openxmlformats.org/officeDocument/2006/relationships/table" Target="../tables/table80.xml"/><Relationship Id="rId12" Type="http://schemas.openxmlformats.org/officeDocument/2006/relationships/table" Target="../tables/table85.xml"/><Relationship Id="rId2" Type="http://schemas.openxmlformats.org/officeDocument/2006/relationships/table" Target="../tables/table75.xml"/><Relationship Id="rId16" Type="http://schemas.openxmlformats.org/officeDocument/2006/relationships/comments" Target="../comments5.xml"/><Relationship Id="rId1" Type="http://schemas.openxmlformats.org/officeDocument/2006/relationships/vmlDrawing" Target="../drawings/vmlDrawing5.vml"/><Relationship Id="rId6" Type="http://schemas.openxmlformats.org/officeDocument/2006/relationships/table" Target="../tables/table79.xml"/><Relationship Id="rId11" Type="http://schemas.openxmlformats.org/officeDocument/2006/relationships/table" Target="../tables/table84.xml"/><Relationship Id="rId5" Type="http://schemas.openxmlformats.org/officeDocument/2006/relationships/table" Target="../tables/table78.xml"/><Relationship Id="rId15" Type="http://schemas.openxmlformats.org/officeDocument/2006/relationships/table" Target="../tables/table88.xml"/><Relationship Id="rId10" Type="http://schemas.openxmlformats.org/officeDocument/2006/relationships/table" Target="../tables/table83.xml"/><Relationship Id="rId4" Type="http://schemas.openxmlformats.org/officeDocument/2006/relationships/table" Target="../tables/table77.xml"/><Relationship Id="rId9" Type="http://schemas.openxmlformats.org/officeDocument/2006/relationships/table" Target="../tables/table82.xml"/><Relationship Id="rId14" Type="http://schemas.openxmlformats.org/officeDocument/2006/relationships/table" Target="../tables/table8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1.xml"/><Relationship Id="rId2" Type="http://schemas.openxmlformats.org/officeDocument/2006/relationships/table" Target="../tables/table90.xml"/><Relationship Id="rId1" Type="http://schemas.openxmlformats.org/officeDocument/2006/relationships/table" Target="../tables/table89.xml"/><Relationship Id="rId4" Type="http://schemas.openxmlformats.org/officeDocument/2006/relationships/table" Target="../tables/table9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4.xml"/><Relationship Id="rId2" Type="http://schemas.openxmlformats.org/officeDocument/2006/relationships/hyperlink" Target="https://www.jocar.com.br/Produto.aspx?CG=18&amp;CSG=34&amp;CP=704023" TargetMode="External"/><Relationship Id="rId1" Type="http://schemas.openxmlformats.org/officeDocument/2006/relationships/hyperlink" Target="https://www.google.com.br/url?sa=i&amp;rct=j&amp;q=&amp;esrc=s&amp;source=images&amp;cd=&amp;ved=0ahUKEwjpsqHX6d7MAhVBF5AKHXDhCV8QjhwIBQ&amp;url=http://www.ateliesonhoselembrancas.com.br/sabonete-liquido-pronto-1-litro.html&amp;psig=AFQjCNHtLNBkHnjz_pFLCTKg6ulyOsIRzQ&amp;ust=1463496024545218"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0"/>
  <sheetViews>
    <sheetView showGridLines="0" topLeftCell="A125" zoomScale="85" zoomScaleNormal="85" workbookViewId="0">
      <selection activeCell="D150" sqref="D150"/>
    </sheetView>
  </sheetViews>
  <sheetFormatPr defaultColWidth="9" defaultRowHeight="15" outlineLevelRow="1"/>
  <cols>
    <col min="1" max="1" width="12.42578125" customWidth="1"/>
    <col min="2" max="2" width="76.42578125" customWidth="1"/>
    <col min="3" max="3" width="28.42578125" customWidth="1"/>
    <col min="4" max="4" width="27.42578125" customWidth="1"/>
    <col min="6" max="6" width="32.7109375" customWidth="1"/>
    <col min="7" max="7" width="13" customWidth="1"/>
  </cols>
  <sheetData>
    <row r="1" spans="1:21">
      <c r="A1" s="145" t="s">
        <v>0</v>
      </c>
      <c r="B1" s="145"/>
      <c r="C1" s="145"/>
      <c r="D1" s="145"/>
      <c r="F1" s="144" t="s">
        <v>1</v>
      </c>
      <c r="G1" s="144"/>
      <c r="H1" s="107"/>
      <c r="I1" s="107"/>
      <c r="J1" s="107"/>
      <c r="K1" s="107"/>
      <c r="L1" s="107"/>
      <c r="M1" s="107"/>
      <c r="N1" s="107"/>
      <c r="O1" s="107"/>
      <c r="P1" s="107"/>
      <c r="Q1" s="107"/>
      <c r="R1" s="107"/>
      <c r="S1" s="107"/>
      <c r="T1" s="107"/>
      <c r="U1" s="107"/>
    </row>
    <row r="2" spans="1:21">
      <c r="A2" s="24" t="s">
        <v>2</v>
      </c>
      <c r="B2" t="s">
        <v>3</v>
      </c>
      <c r="C2" s="24" t="s">
        <v>4</v>
      </c>
      <c r="D2" s="24" t="s">
        <v>5</v>
      </c>
      <c r="F2" t="s">
        <v>3</v>
      </c>
      <c r="G2" t="s">
        <v>5</v>
      </c>
      <c r="H2" s="107"/>
      <c r="I2" s="107"/>
      <c r="J2" s="107"/>
      <c r="K2" s="107"/>
      <c r="L2" s="107"/>
      <c r="M2" s="107"/>
      <c r="N2" s="107"/>
      <c r="O2" s="107"/>
      <c r="P2" s="107"/>
      <c r="Q2" s="107"/>
      <c r="R2" s="107"/>
      <c r="S2" s="107"/>
      <c r="T2" s="107"/>
      <c r="U2" s="107"/>
    </row>
    <row r="3" spans="1:21">
      <c r="A3" s="24">
        <v>1</v>
      </c>
      <c r="B3" t="s">
        <v>6</v>
      </c>
      <c r="C3" s="24"/>
      <c r="D3" s="24" t="s">
        <v>7</v>
      </c>
      <c r="F3" t="s">
        <v>8</v>
      </c>
      <c r="G3" s="127">
        <v>3.8</v>
      </c>
      <c r="H3" s="107"/>
      <c r="I3" s="107"/>
      <c r="J3" s="107"/>
      <c r="K3" s="107"/>
      <c r="L3" s="107"/>
      <c r="M3" s="107"/>
      <c r="N3" s="107"/>
      <c r="O3" s="107"/>
      <c r="P3" s="107"/>
      <c r="Q3" s="107"/>
      <c r="R3" s="107"/>
      <c r="S3" s="107"/>
      <c r="T3" s="107"/>
      <c r="U3" s="107"/>
    </row>
    <row r="4" spans="1:21">
      <c r="A4" s="24">
        <v>2</v>
      </c>
      <c r="B4" t="s">
        <v>9</v>
      </c>
      <c r="C4" s="24"/>
      <c r="D4" s="24" t="s">
        <v>10</v>
      </c>
      <c r="F4" t="s">
        <v>11</v>
      </c>
      <c r="G4" s="127">
        <v>14</v>
      </c>
      <c r="H4" s="107"/>
      <c r="I4" s="107"/>
      <c r="J4" s="107"/>
      <c r="K4" s="107"/>
      <c r="L4" s="107"/>
      <c r="M4" s="107"/>
      <c r="N4" s="107"/>
      <c r="O4" s="107"/>
      <c r="P4" s="107"/>
      <c r="Q4" s="107"/>
      <c r="R4" s="107"/>
      <c r="S4" s="107"/>
      <c r="T4" s="107"/>
      <c r="U4" s="107"/>
    </row>
    <row r="5" spans="1:21">
      <c r="A5" s="24">
        <v>3</v>
      </c>
      <c r="B5" t="s">
        <v>12</v>
      </c>
      <c r="C5" s="24" t="s">
        <v>13</v>
      </c>
      <c r="D5" s="128">
        <v>1002.88</v>
      </c>
      <c r="F5" t="s">
        <v>14</v>
      </c>
      <c r="G5" s="94">
        <v>22</v>
      </c>
      <c r="H5" s="107"/>
      <c r="I5" s="107"/>
      <c r="J5" s="107"/>
      <c r="K5" s="107"/>
      <c r="L5" s="107"/>
      <c r="M5" s="107"/>
      <c r="N5" s="107"/>
      <c r="O5" s="107"/>
      <c r="P5" s="107"/>
      <c r="Q5" s="107"/>
      <c r="R5" s="107"/>
      <c r="S5" s="107"/>
      <c r="T5" s="107"/>
      <c r="U5" s="107"/>
    </row>
    <row r="6" spans="1:21">
      <c r="A6" s="24">
        <v>4</v>
      </c>
      <c r="B6" t="s">
        <v>15</v>
      </c>
      <c r="C6" s="24" t="s">
        <v>16</v>
      </c>
      <c r="D6" s="24" t="s">
        <v>17</v>
      </c>
      <c r="F6" t="s">
        <v>18</v>
      </c>
      <c r="G6" s="129">
        <v>0.03</v>
      </c>
      <c r="H6" s="107"/>
      <c r="I6" s="107"/>
      <c r="J6" s="107"/>
      <c r="K6" s="107"/>
      <c r="L6" s="107"/>
      <c r="M6" s="107"/>
      <c r="N6" s="107"/>
      <c r="O6" s="107"/>
      <c r="P6" s="107"/>
      <c r="Q6" s="107"/>
      <c r="R6" s="107"/>
      <c r="S6" s="107"/>
      <c r="T6" s="107"/>
      <c r="U6" s="107"/>
    </row>
    <row r="7" spans="1:21">
      <c r="A7" s="24">
        <v>5</v>
      </c>
      <c r="B7" t="s">
        <v>19</v>
      </c>
      <c r="C7" s="24"/>
      <c r="D7" s="24" t="s">
        <v>20</v>
      </c>
      <c r="H7" s="107"/>
      <c r="I7" s="107"/>
      <c r="J7" s="107"/>
      <c r="K7" s="107"/>
      <c r="L7" s="107"/>
      <c r="M7" s="107"/>
      <c r="N7" s="107"/>
      <c r="O7" s="107"/>
      <c r="P7" s="107"/>
      <c r="Q7" s="107"/>
      <c r="R7" s="107"/>
      <c r="S7" s="107"/>
      <c r="T7" s="107"/>
      <c r="U7" s="107"/>
    </row>
    <row r="8" spans="1:21">
      <c r="F8" s="144" t="s">
        <v>21</v>
      </c>
      <c r="G8" s="144"/>
      <c r="H8" s="107"/>
      <c r="I8" s="107"/>
      <c r="J8" s="107"/>
      <c r="K8" s="107"/>
      <c r="L8" s="107"/>
      <c r="M8" s="107"/>
      <c r="N8" s="107"/>
      <c r="O8" s="107"/>
      <c r="P8" s="107"/>
      <c r="Q8" s="107"/>
      <c r="R8" s="107"/>
      <c r="S8" s="107"/>
      <c r="T8" s="107"/>
      <c r="U8" s="107"/>
    </row>
    <row r="9" spans="1:21">
      <c r="A9" s="140" t="s">
        <v>22</v>
      </c>
      <c r="B9" s="140"/>
      <c r="C9" s="140"/>
      <c r="D9" s="140"/>
      <c r="F9" t="s">
        <v>23</v>
      </c>
      <c r="G9" t="s">
        <v>24</v>
      </c>
      <c r="H9" s="107"/>
      <c r="I9" s="107"/>
      <c r="J9" s="107"/>
      <c r="K9" s="107"/>
      <c r="L9" s="107"/>
      <c r="M9" s="107"/>
      <c r="N9" s="107"/>
      <c r="O9" s="107"/>
      <c r="P9" s="107"/>
      <c r="Q9" s="107"/>
      <c r="R9" s="107"/>
      <c r="S9" s="107"/>
      <c r="T9" s="107"/>
      <c r="U9" s="107"/>
    </row>
    <row r="10" spans="1:21">
      <c r="A10" s="24" t="s">
        <v>25</v>
      </c>
      <c r="B10" t="s">
        <v>26</v>
      </c>
      <c r="C10" s="24" t="s">
        <v>4</v>
      </c>
      <c r="D10" s="24" t="s">
        <v>5</v>
      </c>
      <c r="F10" t="s">
        <v>27</v>
      </c>
      <c r="G10" s="130">
        <v>0.43369999999999997</v>
      </c>
      <c r="H10" s="107"/>
      <c r="I10" s="107"/>
      <c r="J10" s="107"/>
      <c r="K10" s="107"/>
      <c r="L10" s="107"/>
      <c r="M10" s="107"/>
      <c r="N10" s="107"/>
      <c r="O10" s="107"/>
      <c r="P10" s="107"/>
      <c r="Q10" s="107"/>
      <c r="R10" s="107"/>
      <c r="S10" s="107"/>
      <c r="T10" s="107"/>
      <c r="U10" s="107"/>
    </row>
    <row r="11" spans="1:21">
      <c r="A11" s="24" t="s">
        <v>28</v>
      </c>
      <c r="B11" t="s">
        <v>29</v>
      </c>
      <c r="C11" s="24"/>
      <c r="D11" s="84">
        <f>Salário_Normativo_da_Categoria_Profissional</f>
        <v>1002.88</v>
      </c>
      <c r="F11" t="s">
        <v>30</v>
      </c>
      <c r="G11" s="130">
        <v>0.43369999999999997</v>
      </c>
      <c r="H11" s="107"/>
      <c r="I11" s="107"/>
      <c r="J11" s="107"/>
      <c r="K11" s="107"/>
      <c r="L11" s="107"/>
      <c r="M11" s="107"/>
      <c r="N11" s="107"/>
      <c r="O11" s="107"/>
      <c r="P11" s="107"/>
      <c r="Q11" s="107"/>
      <c r="R11" s="107"/>
      <c r="S11" s="107"/>
      <c r="T11" s="107"/>
      <c r="U11" s="107"/>
    </row>
    <row r="12" spans="1:21">
      <c r="A12" s="24" t="s">
        <v>31</v>
      </c>
      <c r="B12" t="s">
        <v>32</v>
      </c>
      <c r="C12" s="24"/>
      <c r="D12" s="84"/>
      <c r="F12" t="s">
        <v>33</v>
      </c>
      <c r="G12" s="130">
        <v>2.18E-2</v>
      </c>
      <c r="H12" s="107"/>
      <c r="I12" s="107"/>
      <c r="J12" s="107"/>
      <c r="K12" s="107"/>
      <c r="L12" s="107"/>
      <c r="M12" s="107"/>
      <c r="N12" s="107"/>
      <c r="O12" s="107"/>
      <c r="P12" s="107"/>
      <c r="Q12" s="107"/>
      <c r="R12" s="107"/>
      <c r="S12" s="107"/>
      <c r="T12" s="107"/>
      <c r="U12" s="107"/>
    </row>
    <row r="13" spans="1:21">
      <c r="A13" s="24" t="s">
        <v>34</v>
      </c>
      <c r="B13" t="s">
        <v>35</v>
      </c>
      <c r="C13" s="24"/>
      <c r="D13" s="84"/>
      <c r="H13" s="107"/>
      <c r="I13" s="107"/>
      <c r="J13" s="107"/>
      <c r="K13" s="107"/>
      <c r="L13" s="107"/>
      <c r="M13" s="107"/>
      <c r="N13" s="107"/>
      <c r="O13" s="107"/>
      <c r="P13" s="107"/>
      <c r="Q13" s="107"/>
      <c r="R13" s="107"/>
      <c r="S13" s="107"/>
      <c r="T13" s="107"/>
      <c r="U13" s="107"/>
    </row>
    <row r="14" spans="1:21">
      <c r="A14" s="24" t="s">
        <v>36</v>
      </c>
      <c r="B14" t="s">
        <v>37</v>
      </c>
      <c r="C14" s="24"/>
      <c r="D14" s="84"/>
      <c r="F14" s="144" t="s">
        <v>38</v>
      </c>
      <c r="G14" s="144"/>
      <c r="H14" s="107"/>
      <c r="I14" s="107"/>
      <c r="J14" s="107"/>
      <c r="K14" s="107"/>
      <c r="L14" s="107"/>
      <c r="M14" s="107"/>
      <c r="N14" s="107"/>
      <c r="O14" s="107"/>
      <c r="P14" s="107"/>
      <c r="Q14" s="107"/>
      <c r="R14" s="107"/>
      <c r="S14" s="107"/>
      <c r="T14" s="107"/>
      <c r="U14" s="107"/>
    </row>
    <row r="15" spans="1:21">
      <c r="A15" s="24" t="s">
        <v>39</v>
      </c>
      <c r="B15" t="s">
        <v>40</v>
      </c>
      <c r="C15" s="24"/>
      <c r="D15" s="84"/>
      <c r="F15" s="107" t="s">
        <v>3</v>
      </c>
      <c r="G15" s="107" t="s">
        <v>24</v>
      </c>
      <c r="H15" s="107"/>
      <c r="I15" s="107"/>
      <c r="J15" s="107"/>
      <c r="K15" s="107"/>
      <c r="L15" s="107"/>
      <c r="M15" s="107"/>
      <c r="N15" s="107"/>
      <c r="O15" s="107"/>
      <c r="P15" s="107"/>
      <c r="Q15" s="107"/>
      <c r="R15" s="107"/>
      <c r="S15" s="107"/>
      <c r="T15" s="107"/>
      <c r="U15" s="107"/>
    </row>
    <row r="16" spans="1:21">
      <c r="A16" s="24" t="s">
        <v>41</v>
      </c>
      <c r="B16" t="s">
        <v>42</v>
      </c>
      <c r="C16" s="24"/>
      <c r="D16" s="84"/>
      <c r="F16" s="107" t="s">
        <v>43</v>
      </c>
      <c r="G16" s="131">
        <v>0.03</v>
      </c>
      <c r="H16" s="107"/>
      <c r="I16" s="107"/>
      <c r="J16" s="107"/>
      <c r="K16" s="107"/>
      <c r="L16" s="107"/>
      <c r="M16" s="107"/>
      <c r="N16" s="107"/>
      <c r="O16" s="107"/>
      <c r="P16" s="107"/>
      <c r="Q16" s="107"/>
      <c r="R16" s="107"/>
      <c r="S16" s="107"/>
      <c r="T16" s="107"/>
      <c r="U16" s="107"/>
    </row>
    <row r="17" spans="1:21">
      <c r="A17" s="24" t="s">
        <v>44</v>
      </c>
      <c r="C17" s="24"/>
      <c r="D17" s="84">
        <f>SUBTOTAL(109,Módulo13[Valor])</f>
        <v>1002.88</v>
      </c>
      <c r="F17" s="107" t="s">
        <v>45</v>
      </c>
      <c r="G17" s="131">
        <v>6.7900000000000002E-2</v>
      </c>
      <c r="H17" s="107"/>
      <c r="I17" s="107"/>
      <c r="J17" s="107"/>
      <c r="K17" s="107"/>
      <c r="L17" s="107"/>
      <c r="M17" s="107"/>
      <c r="N17" s="107"/>
      <c r="O17" s="107"/>
      <c r="P17" s="107"/>
      <c r="Q17" s="107"/>
      <c r="R17" s="107"/>
      <c r="S17" s="107"/>
      <c r="T17" s="107"/>
      <c r="U17" s="107"/>
    </row>
    <row r="18" spans="1:21">
      <c r="F18" s="107" t="s">
        <v>46</v>
      </c>
      <c r="G18" s="132">
        <v>1.6500000000000001E-2</v>
      </c>
      <c r="H18" s="107"/>
      <c r="I18" s="107"/>
      <c r="J18" s="107"/>
      <c r="K18" s="107"/>
      <c r="L18" s="107"/>
      <c r="M18" s="107"/>
      <c r="N18" s="107"/>
      <c r="O18" s="107"/>
      <c r="P18" s="107"/>
      <c r="Q18" s="107"/>
      <c r="R18" s="107"/>
      <c r="S18" s="107"/>
      <c r="T18" s="107"/>
      <c r="U18" s="107"/>
    </row>
    <row r="19" spans="1:21">
      <c r="A19" s="143" t="s">
        <v>47</v>
      </c>
      <c r="B19" s="143"/>
      <c r="C19" s="143"/>
      <c r="D19" s="143"/>
      <c r="F19" s="107" t="s">
        <v>48</v>
      </c>
      <c r="G19" s="132">
        <v>7.5999999999999998E-2</v>
      </c>
      <c r="H19" s="107"/>
      <c r="I19" s="107"/>
      <c r="J19" s="107"/>
      <c r="K19" s="107"/>
      <c r="L19" s="107"/>
      <c r="M19" s="107"/>
      <c r="N19" s="107"/>
      <c r="O19" s="107"/>
      <c r="P19" s="107"/>
      <c r="Q19" s="107"/>
      <c r="R19" s="107"/>
      <c r="S19" s="107"/>
      <c r="T19" s="107"/>
      <c r="U19" s="107"/>
    </row>
    <row r="20" spans="1:21">
      <c r="A20" s="144" t="s">
        <v>49</v>
      </c>
      <c r="B20" s="144"/>
      <c r="C20" s="144"/>
      <c r="D20" s="144"/>
      <c r="F20" s="107" t="s">
        <v>50</v>
      </c>
      <c r="G20" s="132">
        <v>0.05</v>
      </c>
      <c r="H20" s="107"/>
      <c r="I20" s="107"/>
      <c r="J20" s="107"/>
      <c r="K20" s="107"/>
      <c r="L20" s="107"/>
      <c r="M20" s="107"/>
      <c r="N20" s="107"/>
      <c r="O20" s="107"/>
      <c r="P20" s="107"/>
      <c r="Q20" s="107"/>
      <c r="R20" s="107"/>
      <c r="S20" s="107"/>
      <c r="T20" s="107"/>
      <c r="U20" s="107"/>
    </row>
    <row r="21" spans="1:21">
      <c r="A21" s="24" t="s">
        <v>51</v>
      </c>
      <c r="B21" t="s">
        <v>52</v>
      </c>
      <c r="C21" s="24" t="s">
        <v>4</v>
      </c>
      <c r="D21" s="24" t="s">
        <v>5</v>
      </c>
      <c r="F21" s="107"/>
      <c r="G21" s="107"/>
      <c r="H21" s="107"/>
      <c r="I21" s="107"/>
      <c r="J21" s="107"/>
      <c r="K21" s="107"/>
      <c r="L21" s="107"/>
      <c r="M21" s="107"/>
      <c r="N21" s="107"/>
      <c r="O21" s="107"/>
      <c r="P21" s="107"/>
      <c r="Q21" s="107"/>
      <c r="R21" s="107"/>
      <c r="S21" s="107"/>
      <c r="T21" s="107"/>
      <c r="U21" s="107"/>
    </row>
    <row r="22" spans="1:21">
      <c r="A22" s="24" t="s">
        <v>28</v>
      </c>
      <c r="B22" t="s">
        <v>53</v>
      </c>
      <c r="D22" s="84">
        <f>Módulo13[[#Totals],[Valor]]/12</f>
        <v>83.573333333333338</v>
      </c>
      <c r="F22" s="144" t="s">
        <v>54</v>
      </c>
      <c r="G22" s="144"/>
      <c r="H22" s="107"/>
      <c r="I22" s="107"/>
      <c r="J22" s="107"/>
      <c r="K22" s="107"/>
      <c r="L22" s="107"/>
      <c r="M22" s="107"/>
      <c r="N22" s="107"/>
      <c r="O22" s="107"/>
      <c r="P22" s="107"/>
      <c r="Q22" s="107"/>
      <c r="R22" s="107"/>
      <c r="S22" s="107"/>
      <c r="T22" s="107"/>
      <c r="U22" s="107"/>
    </row>
    <row r="23" spans="1:21">
      <c r="A23" s="24" t="s">
        <v>31</v>
      </c>
      <c r="B23" t="s">
        <v>55</v>
      </c>
      <c r="D23" s="84">
        <f>(Módulo13[[#Totals],[Valor]]/12)*(1/3)</f>
        <v>27.857777777777777</v>
      </c>
      <c r="E23" s="104"/>
      <c r="F23" s="24" t="s">
        <v>3</v>
      </c>
      <c r="G23" s="24" t="s">
        <v>5</v>
      </c>
      <c r="H23" s="107"/>
      <c r="I23" s="107"/>
      <c r="J23" s="107"/>
      <c r="K23" s="107"/>
      <c r="L23" s="107"/>
      <c r="M23" s="107"/>
      <c r="N23" s="107"/>
      <c r="O23" s="107"/>
      <c r="P23" s="107"/>
      <c r="Q23" s="107"/>
      <c r="R23" s="107"/>
      <c r="S23" s="107"/>
      <c r="T23" s="107"/>
      <c r="U23" s="107"/>
    </row>
    <row r="24" spans="1:21">
      <c r="A24" s="24" t="s">
        <v>44</v>
      </c>
      <c r="D24" s="84">
        <f>SUBTOTAL(109,Submódulo2.14[Valor])</f>
        <v>111.43111111111111</v>
      </c>
      <c r="F24" s="107" t="s">
        <v>56</v>
      </c>
      <c r="G24" s="133">
        <f>((D17+D24+(D17/12))*(100%+C41))/30</f>
        <v>54.62353066666666</v>
      </c>
      <c r="H24" s="107"/>
      <c r="I24" s="107"/>
      <c r="J24" s="107"/>
      <c r="K24" s="107"/>
      <c r="L24" s="107"/>
      <c r="M24" s="107"/>
      <c r="N24" s="107"/>
      <c r="O24" s="107"/>
      <c r="P24" s="107"/>
      <c r="Q24" s="107"/>
      <c r="R24" s="107"/>
      <c r="S24" s="107"/>
      <c r="T24" s="107"/>
      <c r="U24" s="107"/>
    </row>
    <row r="25" spans="1:21">
      <c r="A25" s="24"/>
      <c r="D25" s="84"/>
      <c r="F25" s="107" t="s">
        <v>57</v>
      </c>
      <c r="G25" s="133">
        <f>((D17*(1+(1/3))*(100%+C41))/12)/30</f>
        <v>5.0812586666666659</v>
      </c>
      <c r="H25" s="107"/>
      <c r="I25" s="107"/>
      <c r="J25" s="107"/>
      <c r="K25" s="107"/>
      <c r="L25" s="107"/>
      <c r="M25" s="107"/>
      <c r="N25" s="107"/>
      <c r="O25" s="107"/>
      <c r="P25" s="107"/>
      <c r="Q25" s="107"/>
      <c r="R25" s="107"/>
      <c r="S25" s="107"/>
      <c r="T25" s="107"/>
      <c r="U25" s="107"/>
    </row>
    <row r="26" spans="1:21">
      <c r="A26" s="141" t="s">
        <v>58</v>
      </c>
      <c r="B26" s="141"/>
      <c r="C26" s="141"/>
      <c r="D26" s="141"/>
      <c r="F26" s="107"/>
      <c r="G26" s="107"/>
      <c r="H26" s="107"/>
      <c r="I26" s="107"/>
      <c r="J26" s="107"/>
      <c r="K26" s="107"/>
      <c r="L26" s="107"/>
      <c r="M26" s="107"/>
      <c r="N26" s="107"/>
      <c r="O26" s="107"/>
      <c r="P26" s="107"/>
      <c r="Q26" s="107"/>
      <c r="R26" s="107"/>
      <c r="S26" s="107"/>
      <c r="T26" s="107"/>
      <c r="U26" s="107"/>
    </row>
    <row r="27" spans="1:21">
      <c r="A27" s="134" t="s">
        <v>2</v>
      </c>
      <c r="B27" s="134" t="s">
        <v>59</v>
      </c>
      <c r="C27" s="134" t="s">
        <v>60</v>
      </c>
      <c r="D27" s="135" t="s">
        <v>61</v>
      </c>
      <c r="F27" s="107"/>
      <c r="G27" s="107"/>
      <c r="H27" s="107"/>
      <c r="I27" s="107"/>
      <c r="J27" s="107"/>
      <c r="K27" s="107"/>
      <c r="L27" s="107"/>
      <c r="M27" s="107"/>
      <c r="N27" s="107"/>
      <c r="O27" s="107"/>
      <c r="P27" s="107"/>
      <c r="Q27" s="107"/>
      <c r="R27" s="107"/>
      <c r="S27" s="107"/>
      <c r="T27" s="107"/>
      <c r="U27" s="107"/>
    </row>
    <row r="28" spans="1:21" ht="30">
      <c r="A28" s="67" t="s">
        <v>28</v>
      </c>
      <c r="B28" s="136" t="s">
        <v>62</v>
      </c>
      <c r="C28" s="38" t="s">
        <v>63</v>
      </c>
      <c r="D28" s="136" t="s">
        <v>64</v>
      </c>
      <c r="F28" s="107"/>
      <c r="G28" s="107"/>
      <c r="H28" s="107"/>
      <c r="I28" s="107"/>
      <c r="J28" s="107"/>
      <c r="K28" s="107"/>
      <c r="L28" s="107"/>
      <c r="M28" s="107"/>
      <c r="N28" s="107"/>
      <c r="O28" s="107"/>
      <c r="P28" s="107"/>
      <c r="Q28" s="107"/>
      <c r="R28" s="107"/>
      <c r="S28" s="107"/>
      <c r="T28" s="107"/>
      <c r="U28" s="107"/>
    </row>
    <row r="29" spans="1:21">
      <c r="A29" s="67" t="s">
        <v>31</v>
      </c>
      <c r="B29" s="137" t="s">
        <v>55</v>
      </c>
      <c r="C29" s="38" t="s">
        <v>63</v>
      </c>
      <c r="D29" s="136" t="s">
        <v>65</v>
      </c>
      <c r="F29" s="107"/>
      <c r="G29" s="107"/>
      <c r="H29" s="107"/>
      <c r="I29" s="107"/>
      <c r="J29" s="107"/>
      <c r="K29" s="107"/>
      <c r="L29" s="107"/>
      <c r="M29" s="107"/>
      <c r="N29" s="107"/>
      <c r="O29" s="107"/>
      <c r="P29" s="107"/>
      <c r="Q29" s="107"/>
      <c r="R29" s="107"/>
      <c r="S29" s="107"/>
      <c r="T29" s="107"/>
      <c r="U29" s="107"/>
    </row>
    <row r="30" spans="1:21">
      <c r="A30" s="24"/>
      <c r="B30" s="24"/>
      <c r="C30" s="110"/>
      <c r="F30" s="107"/>
      <c r="G30" s="107"/>
      <c r="H30" s="107"/>
      <c r="I30" s="107"/>
      <c r="J30" s="107"/>
      <c r="K30" s="107"/>
      <c r="L30" s="107"/>
      <c r="M30" s="107"/>
      <c r="N30" s="107"/>
      <c r="O30" s="107"/>
      <c r="P30" s="107"/>
      <c r="Q30" s="107"/>
      <c r="R30" s="107"/>
      <c r="S30" s="107"/>
      <c r="T30" s="107"/>
      <c r="U30" s="107"/>
    </row>
    <row r="31" spans="1:21">
      <c r="A31" s="144" t="s">
        <v>66</v>
      </c>
      <c r="B31" s="144"/>
      <c r="C31" s="144"/>
      <c r="D31" s="144"/>
    </row>
    <row r="32" spans="1:21">
      <c r="A32" s="24" t="s">
        <v>67</v>
      </c>
      <c r="B32" t="s">
        <v>68</v>
      </c>
      <c r="C32" s="24" t="s">
        <v>24</v>
      </c>
      <c r="D32" s="24" t="s">
        <v>69</v>
      </c>
    </row>
    <row r="33" spans="1:4">
      <c r="A33" s="24" t="s">
        <v>28</v>
      </c>
      <c r="B33" t="s">
        <v>70</v>
      </c>
      <c r="C33" s="111">
        <v>0.2</v>
      </c>
      <c r="D33" s="84">
        <f>C33*(Módulo13[[#Totals],[Valor]]+Submódulo2.14[[#Totals],[Valor]])</f>
        <v>222.86222222222224</v>
      </c>
    </row>
    <row r="34" spans="1:4">
      <c r="A34" s="24" t="s">
        <v>31</v>
      </c>
      <c r="B34" t="s">
        <v>71</v>
      </c>
      <c r="C34" s="111">
        <v>2.5000000000000001E-2</v>
      </c>
      <c r="D34" s="84">
        <f>C34*(Módulo13[[#Totals],[Valor]]+Submódulo2.14[[#Totals],[Valor]])</f>
        <v>27.85777777777778</v>
      </c>
    </row>
    <row r="35" spans="1:4">
      <c r="A35" s="24" t="s">
        <v>34</v>
      </c>
      <c r="B35" t="s">
        <v>72</v>
      </c>
      <c r="C35" s="111">
        <f>Servente!G6</f>
        <v>0.03</v>
      </c>
      <c r="D35" s="84">
        <f>C35*(Módulo13[[#Totals],[Valor]]+Submódulo2.14[[#Totals],[Valor]])</f>
        <v>33.429333333333332</v>
      </c>
    </row>
    <row r="36" spans="1:4">
      <c r="A36" s="24" t="s">
        <v>36</v>
      </c>
      <c r="B36" t="s">
        <v>73</v>
      </c>
      <c r="C36" s="111">
        <v>1.4999999999999999E-2</v>
      </c>
      <c r="D36" s="84">
        <f>C36*(Módulo13[[#Totals],[Valor]]+Submódulo2.14[[#Totals],[Valor]])</f>
        <v>16.714666666666666</v>
      </c>
    </row>
    <row r="37" spans="1:4">
      <c r="A37" s="24" t="s">
        <v>39</v>
      </c>
      <c r="B37" t="s">
        <v>74</v>
      </c>
      <c r="C37" s="111">
        <v>0.01</v>
      </c>
      <c r="D37" s="84">
        <f>C37*(Módulo13[[#Totals],[Valor]]+Submódulo2.14[[#Totals],[Valor]])</f>
        <v>11.143111111111111</v>
      </c>
    </row>
    <row r="38" spans="1:4">
      <c r="A38" s="24" t="s">
        <v>41</v>
      </c>
      <c r="B38" t="s">
        <v>75</v>
      </c>
      <c r="C38" s="111">
        <v>6.0000000000000001E-3</v>
      </c>
      <c r="D38" s="84">
        <f>C38*(Módulo13[[#Totals],[Valor]]+Submódulo2.14[[#Totals],[Valor]])</f>
        <v>6.6858666666666666</v>
      </c>
    </row>
    <row r="39" spans="1:4">
      <c r="A39" s="24" t="s">
        <v>76</v>
      </c>
      <c r="B39" t="s">
        <v>77</v>
      </c>
      <c r="C39" s="111">
        <v>2E-3</v>
      </c>
      <c r="D39" s="84">
        <f>C39*(Módulo13[[#Totals],[Valor]]+Submódulo2.14[[#Totals],[Valor]])</f>
        <v>2.2286222222222225</v>
      </c>
    </row>
    <row r="40" spans="1:4">
      <c r="A40" s="24" t="s">
        <v>78</v>
      </c>
      <c r="B40" t="s">
        <v>79</v>
      </c>
      <c r="C40" s="111">
        <v>0.08</v>
      </c>
      <c r="D40" s="84">
        <f>C40*(Módulo13[[#Totals],[Valor]]+Submódulo2.14[[#Totals],[Valor]])</f>
        <v>89.144888888888886</v>
      </c>
    </row>
    <row r="41" spans="1:4">
      <c r="A41" s="24" t="s">
        <v>44</v>
      </c>
      <c r="C41" s="114">
        <v>0.36799999999999999</v>
      </c>
      <c r="D41" s="84">
        <f>SUBTOTAL(109,Submódulo2.26[[Valor ]])</f>
        <v>410.0664888888889</v>
      </c>
    </row>
    <row r="42" spans="1:4">
      <c r="A42" s="24"/>
      <c r="C42" s="114"/>
      <c r="D42" s="84"/>
    </row>
    <row r="43" spans="1:4">
      <c r="A43" s="141" t="s">
        <v>80</v>
      </c>
      <c r="B43" s="141"/>
      <c r="C43" s="141"/>
      <c r="D43" s="141"/>
    </row>
    <row r="44" spans="1:4">
      <c r="A44" s="134" t="s">
        <v>2</v>
      </c>
      <c r="B44" s="134" t="s">
        <v>59</v>
      </c>
      <c r="C44" s="134" t="s">
        <v>60</v>
      </c>
      <c r="D44" s="135" t="s">
        <v>61</v>
      </c>
    </row>
    <row r="45" spans="1:4" ht="30">
      <c r="A45" s="67" t="s">
        <v>81</v>
      </c>
      <c r="B45" s="136" t="s">
        <v>68</v>
      </c>
      <c r="C45" s="136" t="s">
        <v>82</v>
      </c>
      <c r="D45" s="136" t="s">
        <v>83</v>
      </c>
    </row>
    <row r="47" spans="1:4">
      <c r="A47" s="144" t="s">
        <v>84</v>
      </c>
      <c r="B47" s="144"/>
      <c r="C47" s="144"/>
      <c r="D47" s="144"/>
    </row>
    <row r="48" spans="1:4">
      <c r="A48" s="24" t="s">
        <v>85</v>
      </c>
      <c r="B48" t="s">
        <v>86</v>
      </c>
      <c r="C48" s="24" t="s">
        <v>4</v>
      </c>
      <c r="D48" s="24" t="s">
        <v>5</v>
      </c>
    </row>
    <row r="49" spans="1:4">
      <c r="A49" s="24" t="s">
        <v>28</v>
      </c>
      <c r="B49" t="s">
        <v>87</v>
      </c>
      <c r="D49" s="84">
        <v>107.02719999999999</v>
      </c>
    </row>
    <row r="50" spans="1:4">
      <c r="A50" s="24" t="s">
        <v>31</v>
      </c>
      <c r="B50" t="s">
        <v>88</v>
      </c>
      <c r="D50" s="84">
        <f>(Servente!G4*Servente!G5)*80%</f>
        <v>246.4</v>
      </c>
    </row>
    <row r="51" spans="1:4">
      <c r="A51" s="24" t="s">
        <v>34</v>
      </c>
      <c r="B51" t="s">
        <v>89</v>
      </c>
      <c r="D51" s="84"/>
    </row>
    <row r="52" spans="1:4">
      <c r="A52" s="24" t="s">
        <v>36</v>
      </c>
      <c r="B52" t="s">
        <v>90</v>
      </c>
      <c r="C52" t="s">
        <v>91</v>
      </c>
      <c r="D52" s="84">
        <v>4</v>
      </c>
    </row>
    <row r="53" spans="1:4">
      <c r="A53" s="24" t="s">
        <v>39</v>
      </c>
      <c r="B53" t="s">
        <v>92</v>
      </c>
      <c r="C53" t="s">
        <v>93</v>
      </c>
      <c r="D53" s="84">
        <v>15</v>
      </c>
    </row>
    <row r="54" spans="1:4">
      <c r="A54" s="24" t="s">
        <v>44</v>
      </c>
      <c r="D54" s="84">
        <v>372.42720000000003</v>
      </c>
    </row>
    <row r="55" spans="1:4">
      <c r="A55" s="24"/>
      <c r="D55" s="84"/>
    </row>
    <row r="56" spans="1:4">
      <c r="A56" s="141" t="s">
        <v>94</v>
      </c>
      <c r="B56" s="141"/>
      <c r="C56" s="141"/>
      <c r="D56" s="141"/>
    </row>
    <row r="57" spans="1:4">
      <c r="A57" s="134" t="s">
        <v>2</v>
      </c>
      <c r="B57" s="134" t="s">
        <v>59</v>
      </c>
      <c r="C57" s="134" t="s">
        <v>60</v>
      </c>
      <c r="D57" s="134" t="s">
        <v>61</v>
      </c>
    </row>
    <row r="58" spans="1:4" ht="45">
      <c r="A58" s="67" t="s">
        <v>28</v>
      </c>
      <c r="B58" s="136" t="s">
        <v>87</v>
      </c>
      <c r="C58" s="38" t="s">
        <v>95</v>
      </c>
      <c r="D58" s="38" t="s">
        <v>96</v>
      </c>
    </row>
    <row r="59" spans="1:4" ht="30">
      <c r="A59" s="67" t="s">
        <v>31</v>
      </c>
      <c r="B59" s="137" t="s">
        <v>88</v>
      </c>
      <c r="C59" s="38" t="s">
        <v>95</v>
      </c>
      <c r="D59" s="38" t="s">
        <v>97</v>
      </c>
    </row>
    <row r="60" spans="1:4" ht="19.5" customHeight="1">
      <c r="A60" s="24"/>
      <c r="D60" s="84"/>
    </row>
    <row r="61" spans="1:4">
      <c r="A61" s="144" t="s">
        <v>98</v>
      </c>
      <c r="B61" s="144"/>
      <c r="C61" s="144"/>
      <c r="D61" s="144"/>
    </row>
    <row r="62" spans="1:4">
      <c r="A62" s="24" t="s">
        <v>99</v>
      </c>
      <c r="B62" t="s">
        <v>100</v>
      </c>
      <c r="C62" s="24" t="s">
        <v>4</v>
      </c>
      <c r="D62" s="24" t="s">
        <v>5</v>
      </c>
    </row>
    <row r="63" spans="1:4">
      <c r="A63" s="24" t="s">
        <v>51</v>
      </c>
      <c r="B63" t="s">
        <v>52</v>
      </c>
      <c r="C63" s="24"/>
      <c r="D63" s="84">
        <f>Submódulo2.14[[#Totals],[Valor]]</f>
        <v>111.43111111111111</v>
      </c>
    </row>
    <row r="64" spans="1:4">
      <c r="A64" s="24" t="s">
        <v>67</v>
      </c>
      <c r="B64" t="s">
        <v>68</v>
      </c>
      <c r="C64" s="24"/>
      <c r="D64" s="84">
        <f>Submódulo2.26[[#Totals],[Valor ]]</f>
        <v>410.0664888888889</v>
      </c>
    </row>
    <row r="65" spans="1:4">
      <c r="A65" s="24" t="s">
        <v>85</v>
      </c>
      <c r="B65" t="s">
        <v>86</v>
      </c>
      <c r="C65" s="24"/>
      <c r="D65" s="84">
        <f>Submódulo2.38[[#Totals],[Valor]]</f>
        <v>372.42720000000003</v>
      </c>
    </row>
    <row r="66" spans="1:4">
      <c r="A66" s="24" t="s">
        <v>44</v>
      </c>
      <c r="C66" s="24"/>
      <c r="D66" s="84">
        <f>SUBTOTAL(109,ResumoMódulo29[Valor])</f>
        <v>893.9248</v>
      </c>
    </row>
    <row r="68" spans="1:4">
      <c r="A68" s="140" t="s">
        <v>101</v>
      </c>
      <c r="B68" s="140"/>
      <c r="C68" s="140"/>
      <c r="D68" s="140"/>
    </row>
    <row r="69" spans="1:4">
      <c r="A69" s="24" t="s">
        <v>102</v>
      </c>
      <c r="B69" t="s">
        <v>103</v>
      </c>
      <c r="C69" s="24" t="s">
        <v>4</v>
      </c>
      <c r="D69" s="24" t="s">
        <v>5</v>
      </c>
    </row>
    <row r="70" spans="1:4">
      <c r="A70" s="24" t="s">
        <v>28</v>
      </c>
      <c r="B70" t="s">
        <v>104</v>
      </c>
      <c r="D70" s="84">
        <f>((Módulo13[[#Totals],[Valor]]+D63+D65)/12)*G10</f>
        <v>53.73320046074074</v>
      </c>
    </row>
    <row r="71" spans="1:4">
      <c r="A71" s="24" t="s">
        <v>31</v>
      </c>
      <c r="B71" t="s">
        <v>105</v>
      </c>
      <c r="D71" s="84">
        <f>(D40/12)*Servente!G10</f>
        <v>3.2218448592592588</v>
      </c>
    </row>
    <row r="72" spans="1:4">
      <c r="A72" s="24" t="s">
        <v>34</v>
      </c>
      <c r="B72" t="s">
        <v>106</v>
      </c>
      <c r="D72" s="84">
        <f>D40*50%*Servente!G10</f>
        <v>19.331069155555554</v>
      </c>
    </row>
    <row r="73" spans="1:4">
      <c r="A73" s="24" t="s">
        <v>36</v>
      </c>
      <c r="B73" t="s">
        <v>107</v>
      </c>
      <c r="D73" s="84">
        <f>((Módulo13[[#Totals],[Valor]]+ResumoMódulo29[[#Totals],[Valor]])/12)*G11</f>
        <v>68.553686813333314</v>
      </c>
    </row>
    <row r="74" spans="1:4">
      <c r="A74" s="24" t="s">
        <v>39</v>
      </c>
      <c r="B74" t="s">
        <v>108</v>
      </c>
      <c r="D74" s="84">
        <f>D40*50%*Servente!G11</f>
        <v>19.331069155555554</v>
      </c>
    </row>
    <row r="75" spans="1:4">
      <c r="A75" s="24" t="s">
        <v>41</v>
      </c>
      <c r="B75" t="s">
        <v>109</v>
      </c>
      <c r="D75" s="84">
        <f>-D63*Servente!G12</f>
        <v>-2.4291982222222219</v>
      </c>
    </row>
    <row r="76" spans="1:4">
      <c r="A76" s="24" t="s">
        <v>44</v>
      </c>
      <c r="D76" s="84">
        <f>SUBTOTAL(109,Módulo324[Valor])</f>
        <v>161.74167222222218</v>
      </c>
    </row>
    <row r="77" spans="1:4">
      <c r="A77" s="24"/>
      <c r="D77" s="84"/>
    </row>
    <row r="78" spans="1:4">
      <c r="A78" s="141" t="s">
        <v>110</v>
      </c>
      <c r="B78" s="141"/>
      <c r="C78" s="141"/>
      <c r="D78" s="141"/>
    </row>
    <row r="79" spans="1:4">
      <c r="A79" s="134" t="s">
        <v>2</v>
      </c>
      <c r="B79" s="134" t="s">
        <v>59</v>
      </c>
      <c r="C79" s="134" t="s">
        <v>60</v>
      </c>
      <c r="D79" s="134" t="s">
        <v>61</v>
      </c>
    </row>
    <row r="80" spans="1:4" ht="60">
      <c r="A80" s="67" t="s">
        <v>28</v>
      </c>
      <c r="B80" s="136" t="s">
        <v>104</v>
      </c>
      <c r="C80" s="38" t="s">
        <v>111</v>
      </c>
      <c r="D80" s="38" t="s">
        <v>112</v>
      </c>
    </row>
    <row r="81" spans="1:5" ht="60">
      <c r="A81" s="67" t="s">
        <v>31</v>
      </c>
      <c r="B81" s="137" t="s">
        <v>105</v>
      </c>
      <c r="C81" s="38" t="s">
        <v>113</v>
      </c>
      <c r="D81" s="38" t="s">
        <v>112</v>
      </c>
    </row>
    <row r="82" spans="1:5" ht="75">
      <c r="A82" s="67" t="s">
        <v>34</v>
      </c>
      <c r="B82" s="137" t="s">
        <v>106</v>
      </c>
      <c r="C82" s="38" t="s">
        <v>113</v>
      </c>
      <c r="D82" s="82" t="s">
        <v>114</v>
      </c>
    </row>
    <row r="83" spans="1:5" ht="60">
      <c r="A83" s="67" t="s">
        <v>36</v>
      </c>
      <c r="B83" s="138" t="s">
        <v>107</v>
      </c>
      <c r="C83" s="38" t="s">
        <v>115</v>
      </c>
      <c r="D83" s="82" t="s">
        <v>116</v>
      </c>
    </row>
    <row r="84" spans="1:5" ht="75">
      <c r="A84" s="67" t="s">
        <v>39</v>
      </c>
      <c r="B84" s="138" t="s">
        <v>108</v>
      </c>
      <c r="C84" s="38" t="s">
        <v>113</v>
      </c>
      <c r="D84" s="82" t="s">
        <v>117</v>
      </c>
    </row>
    <row r="85" spans="1:5" ht="60">
      <c r="A85" s="67" t="s">
        <v>41</v>
      </c>
      <c r="B85" s="138" t="s">
        <v>109</v>
      </c>
      <c r="C85" s="38" t="s">
        <v>118</v>
      </c>
      <c r="D85" s="82" t="s">
        <v>119</v>
      </c>
    </row>
    <row r="87" spans="1:5">
      <c r="A87" s="142" t="s">
        <v>120</v>
      </c>
      <c r="B87" s="143"/>
      <c r="C87" s="143"/>
      <c r="D87" s="143"/>
    </row>
    <row r="88" spans="1:5">
      <c r="A88" s="139" t="s">
        <v>121</v>
      </c>
      <c r="B88" s="139"/>
      <c r="C88" s="139"/>
      <c r="D88" s="139"/>
    </row>
    <row r="89" spans="1:5">
      <c r="A89" s="24" t="s">
        <v>122</v>
      </c>
      <c r="B89" t="s">
        <v>123</v>
      </c>
      <c r="C89" s="24" t="s">
        <v>124</v>
      </c>
      <c r="D89" s="24" t="s">
        <v>5</v>
      </c>
    </row>
    <row r="90" spans="1:5">
      <c r="A90" s="24" t="s">
        <v>28</v>
      </c>
      <c r="B90" t="s">
        <v>125</v>
      </c>
      <c r="C90" s="24">
        <v>30</v>
      </c>
      <c r="D90" s="84">
        <f t="shared" ref="D90:D95" si="0">(C90*G$24)/12</f>
        <v>136.55882666666665</v>
      </c>
      <c r="E90" s="104"/>
    </row>
    <row r="91" spans="1:5">
      <c r="A91" s="24" t="s">
        <v>31</v>
      </c>
      <c r="B91" t="s">
        <v>126</v>
      </c>
      <c r="C91" s="24">
        <v>1.4180999999999999</v>
      </c>
      <c r="D91" s="84">
        <f t="shared" si="0"/>
        <v>6.4551357365333324</v>
      </c>
      <c r="E91" s="104"/>
    </row>
    <row r="92" spans="1:5">
      <c r="A92" s="24" t="s">
        <v>34</v>
      </c>
      <c r="B92" t="s">
        <v>127</v>
      </c>
      <c r="C92" s="24">
        <v>0.1898</v>
      </c>
      <c r="D92" s="84">
        <f t="shared" si="0"/>
        <v>0.86396217671111097</v>
      </c>
      <c r="E92" s="104"/>
    </row>
    <row r="93" spans="1:5">
      <c r="A93" s="24" t="s">
        <v>36</v>
      </c>
      <c r="B93" t="s">
        <v>128</v>
      </c>
      <c r="C93" s="24">
        <v>0.95450000000000002</v>
      </c>
      <c r="D93" s="84">
        <f t="shared" si="0"/>
        <v>4.3448466684444442</v>
      </c>
      <c r="E93" s="104"/>
    </row>
    <row r="94" spans="1:5">
      <c r="A94" s="24" t="s">
        <v>39</v>
      </c>
      <c r="B94" t="s">
        <v>129</v>
      </c>
      <c r="C94" s="24">
        <v>2.4723000000000002</v>
      </c>
      <c r="D94" s="84">
        <f>(C94*G$25)/12</f>
        <v>1.0468663167999999</v>
      </c>
      <c r="E94" s="104"/>
    </row>
    <row r="95" spans="1:5">
      <c r="A95" s="24" t="s">
        <v>41</v>
      </c>
      <c r="B95" t="s">
        <v>130</v>
      </c>
      <c r="C95" s="24">
        <v>3.4521000000000002</v>
      </c>
      <c r="D95" s="84">
        <f t="shared" si="0"/>
        <v>15.713824184533332</v>
      </c>
      <c r="E95" s="104"/>
    </row>
    <row r="96" spans="1:5">
      <c r="A96" s="24" t="s">
        <v>44</v>
      </c>
      <c r="C96" s="24">
        <f>SUBTOTAL(109,Submódulo4.125[Dias de ausência])</f>
        <v>38.486800000000002</v>
      </c>
      <c r="D96" s="84">
        <f>SUBTOTAL(109,Submódulo4.125[Valor])</f>
        <v>164.98346174968884</v>
      </c>
    </row>
    <row r="97" spans="1:4">
      <c r="A97" s="24"/>
      <c r="C97" s="24"/>
      <c r="D97" s="84"/>
    </row>
    <row r="98" spans="1:4">
      <c r="A98" s="141" t="s">
        <v>131</v>
      </c>
      <c r="B98" s="141"/>
      <c r="C98" s="141"/>
      <c r="D98" s="141"/>
    </row>
    <row r="99" spans="1:4">
      <c r="A99" s="134" t="s">
        <v>2</v>
      </c>
      <c r="B99" s="134" t="s">
        <v>59</v>
      </c>
      <c r="C99" s="134" t="s">
        <v>60</v>
      </c>
      <c r="D99" s="134" t="s">
        <v>61</v>
      </c>
    </row>
    <row r="100" spans="1:4">
      <c r="A100" s="67" t="s">
        <v>132</v>
      </c>
      <c r="B100" s="136" t="s">
        <v>133</v>
      </c>
      <c r="C100" s="38"/>
      <c r="D100" s="38"/>
    </row>
    <row r="101" spans="1:4" ht="60">
      <c r="A101" s="67" t="s">
        <v>134</v>
      </c>
      <c r="B101" s="137" t="s">
        <v>135</v>
      </c>
      <c r="C101" s="38" t="s">
        <v>136</v>
      </c>
      <c r="D101" s="38" t="s">
        <v>137</v>
      </c>
    </row>
    <row r="102" spans="1:4" ht="60">
      <c r="A102" s="67" t="s">
        <v>39</v>
      </c>
      <c r="B102" s="137" t="s">
        <v>138</v>
      </c>
      <c r="C102" s="38" t="s">
        <v>139</v>
      </c>
      <c r="D102" s="38" t="s">
        <v>137</v>
      </c>
    </row>
    <row r="103" spans="1:4">
      <c r="A103" s="24"/>
      <c r="C103" s="24"/>
      <c r="D103" s="84"/>
    </row>
    <row r="104" spans="1:4">
      <c r="A104" s="144" t="s">
        <v>140</v>
      </c>
      <c r="B104" s="144"/>
      <c r="C104" s="144"/>
      <c r="D104" s="144"/>
    </row>
    <row r="105" spans="1:4">
      <c r="A105" s="24" t="s">
        <v>141</v>
      </c>
      <c r="B105" t="s">
        <v>142</v>
      </c>
      <c r="C105" s="24" t="s">
        <v>4</v>
      </c>
      <c r="D105" s="24" t="s">
        <v>5</v>
      </c>
    </row>
    <row r="106" spans="1:4">
      <c r="A106" s="24" t="s">
        <v>28</v>
      </c>
      <c r="B106" t="s">
        <v>143</v>
      </c>
      <c r="C106" s="24"/>
      <c r="D106" s="84"/>
    </row>
    <row r="107" spans="1:4">
      <c r="A107" s="24" t="s">
        <v>44</v>
      </c>
      <c r="C107" s="24"/>
      <c r="D107" s="84">
        <f>SUBTOTAL(109,Submódulo4.226[Valor])</f>
        <v>0</v>
      </c>
    </row>
    <row r="109" spans="1:4">
      <c r="A109" s="139" t="s">
        <v>144</v>
      </c>
      <c r="B109" s="139"/>
      <c r="C109" s="139"/>
      <c r="D109" s="139"/>
    </row>
    <row r="110" spans="1:4">
      <c r="A110" s="24" t="s">
        <v>145</v>
      </c>
      <c r="B110" t="s">
        <v>146</v>
      </c>
      <c r="C110" s="24" t="s">
        <v>4</v>
      </c>
      <c r="D110" s="24" t="s">
        <v>5</v>
      </c>
    </row>
    <row r="111" spans="1:4">
      <c r="A111" s="24" t="s">
        <v>122</v>
      </c>
      <c r="B111" t="s">
        <v>123</v>
      </c>
      <c r="D111" s="84">
        <f>Submódulo4.125[[#Totals],[Valor]]</f>
        <v>164.98346174968884</v>
      </c>
    </row>
    <row r="112" spans="1:4">
      <c r="A112" s="24" t="s">
        <v>141</v>
      </c>
      <c r="B112" t="s">
        <v>147</v>
      </c>
      <c r="D112" s="84">
        <f>Submódulo4.226[[#Totals],[Valor]]</f>
        <v>0</v>
      </c>
    </row>
    <row r="113" spans="1:4">
      <c r="A113" s="24" t="s">
        <v>44</v>
      </c>
      <c r="D113" s="84">
        <f>SUBTOTAL(109,ResumoMódulo427[Valor])</f>
        <v>164.98346174968884</v>
      </c>
    </row>
    <row r="115" spans="1:4">
      <c r="A115" s="140" t="s">
        <v>148</v>
      </c>
      <c r="B115" s="140"/>
      <c r="C115" s="140"/>
      <c r="D115" s="140"/>
    </row>
    <row r="116" spans="1:4">
      <c r="A116" s="24" t="s">
        <v>149</v>
      </c>
      <c r="B116" t="s">
        <v>150</v>
      </c>
      <c r="C116" s="24" t="s">
        <v>4</v>
      </c>
      <c r="D116" s="24" t="s">
        <v>5</v>
      </c>
    </row>
    <row r="117" spans="1:4">
      <c r="A117" s="24" t="s">
        <v>28</v>
      </c>
      <c r="B117" t="s">
        <v>151</v>
      </c>
      <c r="D117" s="84">
        <f>Table43[[#Totals],[Valor Mensal/ Empregado]]</f>
        <v>31.71</v>
      </c>
    </row>
    <row r="118" spans="1:4">
      <c r="A118" s="24" t="s">
        <v>31</v>
      </c>
      <c r="B118" t="s">
        <v>152</v>
      </c>
      <c r="D118" s="84" t="e">
        <f>Table46[[#Totals],[Valor Total Mensal (R$)]]/Table328[[#Totals],[Qte ajustada]]</f>
        <v>#REF!</v>
      </c>
    </row>
    <row r="119" spans="1:4">
      <c r="A119" s="24" t="s">
        <v>34</v>
      </c>
      <c r="B119" t="s">
        <v>153</v>
      </c>
      <c r="D119" s="84" t="e">
        <f>Equipamentos!F36/Table328[[#Totals],[Qte ajustada]]</f>
        <v>#DIV/0!</v>
      </c>
    </row>
    <row r="120" spans="1:4">
      <c r="A120" s="24" t="s">
        <v>36</v>
      </c>
      <c r="B120" t="s">
        <v>154</v>
      </c>
      <c r="D120" s="84">
        <f>Table328[[#Totals],[Qte ajustada]]</f>
        <v>0</v>
      </c>
    </row>
    <row r="121" spans="1:4">
      <c r="A121" s="24" t="s">
        <v>44</v>
      </c>
      <c r="D121" s="84" t="e">
        <f>SUBTOTAL(109,Módulo528[Valor])</f>
        <v>#REF!</v>
      </c>
    </row>
    <row r="122" spans="1:4">
      <c r="A122" s="24"/>
      <c r="D122" s="84"/>
    </row>
    <row r="123" spans="1:4">
      <c r="A123" s="141" t="s">
        <v>155</v>
      </c>
      <c r="B123" s="141"/>
      <c r="C123" s="141"/>
      <c r="D123" s="141"/>
    </row>
    <row r="124" spans="1:4">
      <c r="A124" s="134" t="s">
        <v>2</v>
      </c>
      <c r="B124" s="134" t="s">
        <v>59</v>
      </c>
      <c r="C124" s="134" t="s">
        <v>60</v>
      </c>
      <c r="D124" s="134" t="s">
        <v>61</v>
      </c>
    </row>
    <row r="125" spans="1:4">
      <c r="A125" s="67" t="s">
        <v>28</v>
      </c>
      <c r="B125" s="136" t="s">
        <v>151</v>
      </c>
      <c r="C125" s="38" t="s">
        <v>156</v>
      </c>
      <c r="D125" s="38"/>
    </row>
    <row r="126" spans="1:4" ht="30">
      <c r="A126" s="67" t="s">
        <v>31</v>
      </c>
      <c r="B126" s="137" t="s">
        <v>152</v>
      </c>
      <c r="C126" s="38" t="s">
        <v>157</v>
      </c>
      <c r="D126" s="38" t="s">
        <v>158</v>
      </c>
    </row>
    <row r="127" spans="1:4" ht="30">
      <c r="A127" s="67" t="s">
        <v>34</v>
      </c>
      <c r="B127" s="137" t="s">
        <v>153</v>
      </c>
      <c r="C127" s="38" t="s">
        <v>159</v>
      </c>
      <c r="D127" s="38" t="s">
        <v>158</v>
      </c>
    </row>
    <row r="128" spans="1:4">
      <c r="A128" s="67" t="s">
        <v>36</v>
      </c>
      <c r="B128" s="137" t="s">
        <v>154</v>
      </c>
      <c r="C128" s="38"/>
      <c r="D128" s="38"/>
    </row>
    <row r="130" spans="1:4">
      <c r="A130" s="140" t="s">
        <v>160</v>
      </c>
      <c r="B130" s="140"/>
      <c r="C130" s="140"/>
      <c r="D130" s="140"/>
    </row>
    <row r="131" spans="1:4" outlineLevel="1">
      <c r="A131" s="24" t="s">
        <v>161</v>
      </c>
      <c r="B131" t="s">
        <v>162</v>
      </c>
      <c r="C131" s="24" t="s">
        <v>24</v>
      </c>
      <c r="D131" s="24" t="s">
        <v>5</v>
      </c>
    </row>
    <row r="132" spans="1:4" outlineLevel="1">
      <c r="A132" s="24" t="s">
        <v>28</v>
      </c>
      <c r="B132" t="s">
        <v>163</v>
      </c>
      <c r="C132" s="111">
        <f>G16</f>
        <v>0.03</v>
      </c>
      <c r="D132" s="84" t="e">
        <f>Módulo629[[#This Row],[Percentual]]*(D143+D144+D145+D146+D147)</f>
        <v>#REF!</v>
      </c>
    </row>
    <row r="133" spans="1:4" outlineLevel="1">
      <c r="A133" s="24" t="s">
        <v>31</v>
      </c>
      <c r="B133" t="s">
        <v>45</v>
      </c>
      <c r="C133" s="111">
        <f>G17</f>
        <v>6.7900000000000002E-2</v>
      </c>
      <c r="D133" s="84" t="e">
        <f>(SUM(D143:D147)+D132)*Módulo629[[#This Row],[Percentual]]</f>
        <v>#REF!</v>
      </c>
    </row>
    <row r="134" spans="1:4">
      <c r="A134" s="24" t="s">
        <v>34</v>
      </c>
      <c r="B134" t="s">
        <v>164</v>
      </c>
      <c r="C134" s="111">
        <f>SUM(C135:C137)</f>
        <v>0.14250000000000002</v>
      </c>
      <c r="D134" s="84" t="e">
        <f>Módulo629[[#This Row],[Percentual]]*D150</f>
        <v>#REF!</v>
      </c>
    </row>
    <row r="135" spans="1:4">
      <c r="A135" s="24" t="s">
        <v>165</v>
      </c>
      <c r="B135" t="s">
        <v>46</v>
      </c>
      <c r="C135" s="111">
        <f>G18</f>
        <v>1.6500000000000001E-2</v>
      </c>
      <c r="D135" s="84" t="e">
        <f>Módulo629[[#This Row],[Percentual]]*D150</f>
        <v>#REF!</v>
      </c>
    </row>
    <row r="136" spans="1:4">
      <c r="A136" s="24" t="s">
        <v>166</v>
      </c>
      <c r="B136" t="s">
        <v>48</v>
      </c>
      <c r="C136" s="111">
        <f>G19</f>
        <v>7.5999999999999998E-2</v>
      </c>
      <c r="D136" s="84" t="e">
        <f>Módulo629[[#This Row],[Percentual]]*D150</f>
        <v>#REF!</v>
      </c>
    </row>
    <row r="137" spans="1:4">
      <c r="A137" s="24" t="s">
        <v>167</v>
      </c>
      <c r="B137" t="s">
        <v>50</v>
      </c>
      <c r="C137" s="111">
        <f>G20</f>
        <v>0.05</v>
      </c>
      <c r="D137" s="84" t="e">
        <f>Módulo629[[#This Row],[Percentual]]*D150</f>
        <v>#REF!</v>
      </c>
    </row>
    <row r="138" spans="1:4">
      <c r="A138" s="24" t="s">
        <v>44</v>
      </c>
      <c r="C138" s="124"/>
      <c r="D138" s="84" t="e">
        <f>SUM(D132:D134)</f>
        <v>#REF!</v>
      </c>
    </row>
    <row r="139" spans="1:4">
      <c r="A139" s="24"/>
      <c r="C139" s="124"/>
      <c r="D139" s="84"/>
    </row>
    <row r="141" spans="1:4">
      <c r="A141" s="140" t="s">
        <v>168</v>
      </c>
      <c r="B141" s="140"/>
      <c r="C141" s="140"/>
      <c r="D141" s="140"/>
    </row>
    <row r="142" spans="1:4">
      <c r="A142" s="24" t="s">
        <v>2</v>
      </c>
      <c r="B142" s="24" t="s">
        <v>169</v>
      </c>
      <c r="C142" s="24" t="s">
        <v>95</v>
      </c>
      <c r="D142" s="24" t="s">
        <v>5</v>
      </c>
    </row>
    <row r="143" spans="1:4">
      <c r="A143" s="24" t="s">
        <v>28</v>
      </c>
      <c r="B143" t="s">
        <v>22</v>
      </c>
      <c r="D143" s="84">
        <f>Módulo13[[#Totals],[Valor]]</f>
        <v>1002.88</v>
      </c>
    </row>
    <row r="144" spans="1:4">
      <c r="A144" s="24" t="s">
        <v>31</v>
      </c>
      <c r="B144" t="s">
        <v>47</v>
      </c>
      <c r="D144" s="84">
        <f>ResumoMódulo29[[#Totals],[Valor]]</f>
        <v>893.9248</v>
      </c>
    </row>
    <row r="145" spans="1:4">
      <c r="A145" s="24" t="s">
        <v>34</v>
      </c>
      <c r="B145" t="s">
        <v>101</v>
      </c>
      <c r="D145" s="84">
        <f>Módulo324[[#Totals],[Valor]]</f>
        <v>161.74167222222218</v>
      </c>
    </row>
    <row r="146" spans="1:4">
      <c r="A146" s="24" t="s">
        <v>36</v>
      </c>
      <c r="B146" t="s">
        <v>170</v>
      </c>
      <c r="D146" s="84">
        <f>ResumoMódulo427[[#Totals],[Valor]]</f>
        <v>164.98346174968884</v>
      </c>
    </row>
    <row r="147" spans="1:4">
      <c r="A147" s="24" t="s">
        <v>39</v>
      </c>
      <c r="B147" t="s">
        <v>148</v>
      </c>
      <c r="D147" s="84" t="e">
        <f>Módulo528[[#Totals],[Valor]]</f>
        <v>#REF!</v>
      </c>
    </row>
    <row r="148" spans="1:4">
      <c r="A148" t="s">
        <v>171</v>
      </c>
      <c r="D148" s="84" t="e">
        <f>SUM(D143:D147)</f>
        <v>#REF!</v>
      </c>
    </row>
    <row r="149" spans="1:4">
      <c r="A149" s="24" t="s">
        <v>41</v>
      </c>
      <c r="B149" t="s">
        <v>160</v>
      </c>
      <c r="D149" s="84" t="e">
        <f>Módulo629[[#Totals],[Valor]]</f>
        <v>#REF!</v>
      </c>
    </row>
    <row r="150" spans="1:4">
      <c r="A150" s="48" t="s">
        <v>172</v>
      </c>
      <c r="B150" s="48"/>
      <c r="C150" s="48"/>
      <c r="D150" s="126" t="e">
        <f>(SUM(D143:D147)+D132+D133)/(100%-C134)</f>
        <v>#REF!</v>
      </c>
    </row>
  </sheetData>
  <mergeCells count="25">
    <mergeCell ref="A1:D1"/>
    <mergeCell ref="F1:G1"/>
    <mergeCell ref="F8:G8"/>
    <mergeCell ref="A9:D9"/>
    <mergeCell ref="F14:G14"/>
    <mergeCell ref="A19:D19"/>
    <mergeCell ref="A20:D20"/>
    <mergeCell ref="F22:G22"/>
    <mergeCell ref="A26:D26"/>
    <mergeCell ref="A31:D31"/>
    <mergeCell ref="A43:D43"/>
    <mergeCell ref="A47:D47"/>
    <mergeCell ref="A56:D56"/>
    <mergeCell ref="A61:D61"/>
    <mergeCell ref="A68:D68"/>
    <mergeCell ref="A78:D78"/>
    <mergeCell ref="A87:D87"/>
    <mergeCell ref="A88:D88"/>
    <mergeCell ref="A98:D98"/>
    <mergeCell ref="A104:D104"/>
    <mergeCell ref="A109:D109"/>
    <mergeCell ref="A115:D115"/>
    <mergeCell ref="A123:D123"/>
    <mergeCell ref="A130:D130"/>
    <mergeCell ref="A141:D141"/>
  </mergeCells>
  <pageMargins left="0.7" right="0.7" top="0.75" bottom="0.75" header="0.3" footer="0.3"/>
  <pageSetup paperSize="9" orientation="portrait"/>
  <legacyDrawing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
  <sheetViews>
    <sheetView showGridLines="0" topLeftCell="B1" zoomScale="84" zoomScaleNormal="84" workbookViewId="0">
      <selection activeCell="I14" sqref="I14"/>
    </sheetView>
  </sheetViews>
  <sheetFormatPr defaultColWidth="9" defaultRowHeight="15"/>
  <cols>
    <col min="1" max="1" width="65.42578125" customWidth="1"/>
    <col min="2" max="2" width="38.28515625" customWidth="1"/>
    <col min="3" max="3" width="11.42578125" customWidth="1"/>
    <col min="4" max="4" width="14" customWidth="1"/>
    <col min="5" max="5" width="14.28515625" customWidth="1"/>
    <col min="6" max="9" width="13.7109375" customWidth="1"/>
    <col min="10" max="10" width="12.5703125" customWidth="1"/>
    <col min="11" max="11" width="15.42578125" customWidth="1"/>
    <col min="12" max="12" width="12.42578125" customWidth="1"/>
    <col min="13" max="13" width="12.140625" customWidth="1"/>
    <col min="14" max="14" width="21.85546875" customWidth="1"/>
  </cols>
  <sheetData>
    <row r="1" spans="1:14">
      <c r="A1" s="155" t="s">
        <v>370</v>
      </c>
      <c r="B1" s="155"/>
      <c r="C1" s="155"/>
      <c r="D1" s="155"/>
      <c r="E1" s="155"/>
      <c r="F1" s="155"/>
      <c r="G1" s="155"/>
      <c r="H1" s="155"/>
      <c r="I1" s="155"/>
      <c r="J1" s="155"/>
      <c r="K1" s="155"/>
      <c r="L1" s="155"/>
      <c r="M1" s="155"/>
      <c r="N1" s="155"/>
    </row>
    <row r="2" spans="1:14" ht="45">
      <c r="A2" s="3" t="s">
        <v>3</v>
      </c>
      <c r="B2" s="3" t="s">
        <v>371</v>
      </c>
      <c r="C2" s="3" t="s">
        <v>372</v>
      </c>
      <c r="D2" s="3" t="s">
        <v>373</v>
      </c>
      <c r="E2" s="3" t="s">
        <v>374</v>
      </c>
      <c r="F2" s="3" t="s">
        <v>375</v>
      </c>
      <c r="G2" s="3" t="s">
        <v>376</v>
      </c>
      <c r="H2" s="3" t="s">
        <v>377</v>
      </c>
      <c r="I2" s="3" t="s">
        <v>378</v>
      </c>
      <c r="J2" s="6" t="s">
        <v>379</v>
      </c>
      <c r="K2" s="6" t="s">
        <v>380</v>
      </c>
      <c r="L2" s="6" t="s">
        <v>381</v>
      </c>
      <c r="M2" s="6" t="s">
        <v>382</v>
      </c>
      <c r="N2" s="6" t="s">
        <v>383</v>
      </c>
    </row>
    <row r="3" spans="1:14">
      <c r="A3" s="4" t="s">
        <v>384</v>
      </c>
      <c r="B3" s="5" t="s">
        <v>385</v>
      </c>
      <c r="C3" s="3"/>
      <c r="D3" s="6"/>
      <c r="E3" s="6"/>
      <c r="F3" s="6"/>
      <c r="G3" s="6"/>
      <c r="H3" s="6"/>
      <c r="I3" s="17"/>
      <c r="J3" s="6"/>
      <c r="K3" s="18"/>
      <c r="L3" s="19"/>
      <c r="M3" s="6"/>
      <c r="N3" s="18"/>
    </row>
    <row r="4" spans="1:14">
      <c r="A4" s="4" t="s">
        <v>327</v>
      </c>
      <c r="B4" s="5" t="s">
        <v>385</v>
      </c>
      <c r="C4" s="3"/>
      <c r="D4" s="6"/>
      <c r="E4" s="6"/>
      <c r="F4" s="6"/>
      <c r="G4" s="6"/>
      <c r="H4" s="6"/>
      <c r="I4" s="17"/>
      <c r="J4" s="6"/>
      <c r="K4" s="18"/>
      <c r="L4" s="19"/>
      <c r="M4" s="6"/>
      <c r="N4" s="18"/>
    </row>
    <row r="5" spans="1:14">
      <c r="A5" s="4" t="s">
        <v>335</v>
      </c>
      <c r="B5" s="5" t="s">
        <v>385</v>
      </c>
      <c r="C5" s="3"/>
      <c r="D5" s="6"/>
      <c r="E5" s="6"/>
      <c r="F5" s="6"/>
      <c r="G5" s="6"/>
      <c r="H5" s="6"/>
      <c r="I5" s="17"/>
      <c r="J5" s="6"/>
      <c r="K5" s="18"/>
      <c r="L5" s="19"/>
      <c r="M5" s="6"/>
      <c r="N5" s="18"/>
    </row>
    <row r="6" spans="1:14">
      <c r="A6" s="4" t="s">
        <v>350</v>
      </c>
      <c r="B6" s="5" t="s">
        <v>385</v>
      </c>
      <c r="C6" s="3"/>
      <c r="D6" s="6"/>
      <c r="E6" s="6"/>
      <c r="F6" s="6"/>
      <c r="G6" s="6"/>
      <c r="H6" s="6"/>
      <c r="I6" s="17"/>
      <c r="J6" s="6"/>
      <c r="K6" s="18"/>
      <c r="L6" s="19"/>
      <c r="M6" s="6"/>
      <c r="N6" s="18"/>
    </row>
    <row r="7" spans="1:14">
      <c r="A7" s="4" t="s">
        <v>330</v>
      </c>
      <c r="B7" s="5" t="s">
        <v>385</v>
      </c>
      <c r="C7" s="3"/>
      <c r="D7" s="6"/>
      <c r="E7" s="6"/>
      <c r="F7" s="6"/>
      <c r="G7" s="6"/>
      <c r="H7" s="6"/>
      <c r="I7" s="17"/>
      <c r="J7" s="6"/>
      <c r="K7" s="18"/>
      <c r="L7" s="19"/>
      <c r="M7" s="6"/>
      <c r="N7" s="18"/>
    </row>
    <row r="8" spans="1:14">
      <c r="A8" s="4" t="s">
        <v>366</v>
      </c>
      <c r="B8" s="5" t="s">
        <v>385</v>
      </c>
      <c r="C8" s="3"/>
      <c r="D8" s="6"/>
      <c r="E8" s="6"/>
      <c r="F8" s="6"/>
      <c r="G8" s="6"/>
      <c r="H8" s="6"/>
      <c r="I8" s="17"/>
      <c r="J8" s="6"/>
      <c r="K8" s="18"/>
      <c r="L8" s="19"/>
      <c r="M8" s="6"/>
      <c r="N8" s="18"/>
    </row>
    <row r="9" spans="1:14">
      <c r="A9" s="7" t="s">
        <v>367</v>
      </c>
      <c r="B9" s="8" t="s">
        <v>385</v>
      </c>
      <c r="C9" s="9"/>
      <c r="D9" s="10"/>
      <c r="E9" s="10"/>
      <c r="F9" s="10"/>
      <c r="G9" s="10"/>
      <c r="H9" s="10"/>
      <c r="I9" s="10"/>
      <c r="J9" s="10"/>
      <c r="K9" s="20"/>
      <c r="L9" s="21"/>
      <c r="M9" s="10"/>
      <c r="N9" s="20"/>
    </row>
    <row r="10" spans="1:14">
      <c r="A10" s="4" t="s">
        <v>368</v>
      </c>
      <c r="B10" s="5" t="s">
        <v>386</v>
      </c>
      <c r="C10" s="3"/>
      <c r="D10" s="6"/>
      <c r="E10" s="6"/>
      <c r="F10" s="6"/>
      <c r="G10" s="6"/>
      <c r="H10" s="6"/>
      <c r="I10" s="17"/>
      <c r="J10" s="6"/>
      <c r="K10" s="18"/>
      <c r="L10" s="19"/>
      <c r="M10" s="6"/>
      <c r="N10" s="18"/>
    </row>
    <row r="11" spans="1:14">
      <c r="A11" s="4" t="s">
        <v>362</v>
      </c>
      <c r="B11" s="5" t="s">
        <v>386</v>
      </c>
      <c r="C11" s="3"/>
      <c r="D11" s="6"/>
      <c r="E11" s="6"/>
      <c r="F11" s="6"/>
      <c r="G11" s="6"/>
      <c r="H11" s="6"/>
      <c r="I11" s="17"/>
      <c r="J11" s="6"/>
      <c r="K11" s="18"/>
      <c r="L11" s="19"/>
      <c r="M11" s="6"/>
      <c r="N11" s="18"/>
    </row>
    <row r="12" spans="1:14">
      <c r="A12" s="4" t="s">
        <v>387</v>
      </c>
      <c r="B12" s="5" t="s">
        <v>386</v>
      </c>
      <c r="C12" s="3"/>
      <c r="D12" s="6"/>
      <c r="E12" s="6"/>
      <c r="F12" s="6"/>
      <c r="G12" s="6"/>
      <c r="H12" s="6"/>
      <c r="I12" s="17"/>
      <c r="J12" s="6"/>
      <c r="K12" s="18"/>
      <c r="L12" s="19"/>
      <c r="M12" s="6"/>
      <c r="N12" s="18"/>
    </row>
    <row r="13" spans="1:14">
      <c r="A13" s="4" t="s">
        <v>369</v>
      </c>
      <c r="B13" s="5" t="s">
        <v>386</v>
      </c>
      <c r="C13" s="3"/>
      <c r="D13" s="6"/>
      <c r="E13" s="6"/>
      <c r="F13" s="6"/>
      <c r="G13" s="6"/>
      <c r="H13" s="6"/>
      <c r="I13" s="17"/>
      <c r="J13" s="6"/>
      <c r="K13" s="18"/>
      <c r="L13" s="19"/>
      <c r="M13" s="6"/>
      <c r="N13" s="18"/>
    </row>
    <row r="14" spans="1:14">
      <c r="A14" s="4" t="s">
        <v>388</v>
      </c>
      <c r="B14" s="5" t="s">
        <v>386</v>
      </c>
      <c r="C14" s="3"/>
      <c r="D14" s="6"/>
      <c r="E14" s="6"/>
      <c r="F14" s="6"/>
      <c r="G14" s="6"/>
      <c r="H14" s="6"/>
      <c r="I14" s="17"/>
      <c r="J14" s="6"/>
      <c r="K14" s="18"/>
      <c r="L14" s="19"/>
      <c r="M14" s="6"/>
      <c r="N14" s="18"/>
    </row>
    <row r="15" spans="1:14">
      <c r="A15" s="4" t="s">
        <v>389</v>
      </c>
      <c r="B15" s="5" t="s">
        <v>386</v>
      </c>
      <c r="C15" s="3"/>
      <c r="D15" s="6"/>
      <c r="E15" s="6"/>
      <c r="F15" s="6"/>
      <c r="G15" s="6"/>
      <c r="H15" s="6"/>
      <c r="I15" s="17"/>
      <c r="J15" s="6"/>
      <c r="K15" s="18"/>
      <c r="L15" s="19"/>
      <c r="M15" s="6"/>
      <c r="N15" s="18"/>
    </row>
    <row r="16" spans="1:14">
      <c r="A16" s="4" t="s">
        <v>390</v>
      </c>
      <c r="B16" s="5" t="s">
        <v>391</v>
      </c>
      <c r="C16" s="3"/>
      <c r="D16" s="6"/>
      <c r="E16" s="6"/>
      <c r="F16" s="6"/>
      <c r="G16" s="6"/>
      <c r="H16" s="6"/>
      <c r="I16" s="17"/>
      <c r="J16" s="6"/>
      <c r="K16" s="18"/>
      <c r="L16" s="19"/>
      <c r="M16" s="6"/>
      <c r="N16" s="18"/>
    </row>
    <row r="17" spans="1:14">
      <c r="A17" s="4" t="s">
        <v>392</v>
      </c>
      <c r="B17" s="5" t="s">
        <v>391</v>
      </c>
      <c r="C17" s="3"/>
      <c r="D17" s="6"/>
      <c r="E17" s="6"/>
      <c r="F17" s="6"/>
      <c r="G17" s="6"/>
      <c r="H17" s="6"/>
      <c r="I17" s="17"/>
      <c r="J17" s="6"/>
      <c r="K17" s="18"/>
      <c r="L17" s="19"/>
      <c r="M17" s="6"/>
      <c r="N17" s="18"/>
    </row>
    <row r="18" spans="1:14">
      <c r="A18" s="4" t="s">
        <v>393</v>
      </c>
      <c r="B18" s="5" t="s">
        <v>391</v>
      </c>
      <c r="C18" s="3"/>
      <c r="D18" s="6"/>
      <c r="E18" s="6"/>
      <c r="F18" s="6"/>
      <c r="G18" s="6"/>
      <c r="H18" s="6"/>
      <c r="I18" s="17"/>
      <c r="J18" s="6"/>
      <c r="K18" s="18"/>
      <c r="L18" s="19"/>
      <c r="M18" s="6"/>
      <c r="N18" s="18"/>
    </row>
    <row r="19" spans="1:14">
      <c r="A19" s="4" t="s">
        <v>394</v>
      </c>
      <c r="B19" s="11" t="s">
        <v>394</v>
      </c>
      <c r="C19" s="12"/>
      <c r="D19" s="13"/>
      <c r="E19" s="13"/>
      <c r="F19" s="6"/>
      <c r="G19" s="6"/>
      <c r="H19" s="6"/>
      <c r="I19" s="17"/>
      <c r="J19" s="6"/>
      <c r="K19" s="18"/>
      <c r="L19" s="19"/>
      <c r="M19" s="6"/>
      <c r="N19" s="18"/>
    </row>
    <row r="20" spans="1:14">
      <c r="A20" s="14" t="s">
        <v>44</v>
      </c>
      <c r="B20" s="15"/>
      <c r="C20" s="15"/>
      <c r="D20" s="6"/>
      <c r="E20" s="6"/>
      <c r="F20" s="6"/>
      <c r="G20" s="6"/>
      <c r="H20" s="6"/>
      <c r="I20" s="6"/>
      <c r="J20" s="6"/>
      <c r="K20" s="22">
        <f>SUBTOTAL(109,Table328[Qtde. Serventes])</f>
        <v>0</v>
      </c>
      <c r="L20" s="22">
        <f>ROUND(K20,0)</f>
        <v>0</v>
      </c>
      <c r="M20" s="18">
        <f>SUBTOTAL(109,Table328[Qte ajustada])</f>
        <v>0</v>
      </c>
      <c r="N20" s="6"/>
    </row>
    <row r="22" spans="1:14" ht="15.75" thickBot="1">
      <c r="A22" s="16" t="s">
        <v>175</v>
      </c>
      <c r="B22" s="16">
        <f>TRUNC(IF(M20&gt;30,2,1),2)</f>
        <v>1</v>
      </c>
    </row>
    <row r="23" spans="1:14" ht="15.75" thickTop="1"/>
  </sheetData>
  <mergeCells count="1">
    <mergeCell ref="A1:N1"/>
  </mergeCells>
  <pageMargins left="0.7" right="0.7" top="0.75" bottom="0.75" header="0.3" footer="0.3"/>
  <pageSetup paperSize="9" orientation="portrait"/>
  <legacy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topLeftCell="L1" workbookViewId="0">
      <selection activeCell="X9" sqref="X9:Y9"/>
    </sheetView>
  </sheetViews>
  <sheetFormatPr defaultColWidth="9.140625" defaultRowHeight="15"/>
  <cols>
    <col min="6" max="6" width="10.42578125" customWidth="1"/>
    <col min="8" max="8" width="11.7109375" customWidth="1"/>
    <col min="10" max="10" width="10" customWidth="1"/>
    <col min="17" max="17" width="16.140625" customWidth="1"/>
    <col min="20" max="20" width="11.5703125" customWidth="1"/>
    <col min="21" max="21" width="8.85546875" customWidth="1"/>
    <col min="22" max="23" width="8.140625" customWidth="1"/>
    <col min="29" max="29" width="14.140625"/>
  </cols>
  <sheetData>
    <row r="1" spans="1:29" ht="15.75">
      <c r="A1" s="179" t="s">
        <v>395</v>
      </c>
      <c r="B1" s="179"/>
      <c r="C1" s="179"/>
      <c r="D1" s="179"/>
      <c r="E1" s="179"/>
      <c r="F1" s="179"/>
      <c r="G1" s="179"/>
      <c r="H1" s="179"/>
      <c r="I1" s="179"/>
      <c r="J1" s="179"/>
      <c r="K1" s="1"/>
    </row>
    <row r="2" spans="1:29">
      <c r="A2" s="183" t="s">
        <v>396</v>
      </c>
      <c r="B2" s="183"/>
      <c r="C2" s="183"/>
      <c r="D2" s="183"/>
      <c r="E2" s="180" t="s">
        <v>397</v>
      </c>
      <c r="F2" s="180"/>
      <c r="G2" s="180" t="s">
        <v>398</v>
      </c>
      <c r="H2" s="180"/>
      <c r="I2" s="180" t="s">
        <v>399</v>
      </c>
      <c r="J2" s="180"/>
      <c r="K2" s="1"/>
      <c r="M2" s="183" t="s">
        <v>400</v>
      </c>
      <c r="N2" s="183"/>
      <c r="O2" s="183"/>
      <c r="P2" s="183"/>
      <c r="Q2" s="183"/>
      <c r="R2" s="183"/>
      <c r="S2" s="183"/>
      <c r="T2" s="183"/>
      <c r="U2" s="180" t="s">
        <v>401</v>
      </c>
      <c r="V2" s="180"/>
      <c r="W2" s="180"/>
      <c r="X2" s="180" t="s">
        <v>402</v>
      </c>
      <c r="Y2" s="180"/>
      <c r="Z2" s="180" t="s">
        <v>403</v>
      </c>
      <c r="AA2" s="180"/>
      <c r="AB2" s="180"/>
    </row>
    <row r="3" spans="1:29">
      <c r="A3" s="183"/>
      <c r="B3" s="183"/>
      <c r="C3" s="183"/>
      <c r="D3" s="183"/>
      <c r="E3" s="181" t="s">
        <v>404</v>
      </c>
      <c r="F3" s="181"/>
      <c r="G3" s="181" t="s">
        <v>405</v>
      </c>
      <c r="H3" s="181"/>
      <c r="I3" s="181" t="s">
        <v>403</v>
      </c>
      <c r="J3" s="181"/>
      <c r="K3" s="1"/>
      <c r="M3" s="183"/>
      <c r="N3" s="183"/>
      <c r="O3" s="183"/>
      <c r="P3" s="183"/>
      <c r="Q3" s="183"/>
      <c r="R3" s="183"/>
      <c r="S3" s="183"/>
      <c r="T3" s="183"/>
      <c r="U3" s="191" t="s">
        <v>406</v>
      </c>
      <c r="V3" s="191"/>
      <c r="W3" s="191"/>
      <c r="X3" s="182" t="s">
        <v>407</v>
      </c>
      <c r="Y3" s="182"/>
      <c r="Z3" s="182" t="s">
        <v>408</v>
      </c>
      <c r="AA3" s="182"/>
      <c r="AB3" s="182"/>
    </row>
    <row r="4" spans="1:29">
      <c r="A4" s="183"/>
      <c r="B4" s="183"/>
      <c r="C4" s="183"/>
      <c r="D4" s="183"/>
      <c r="E4" s="182" t="s">
        <v>409</v>
      </c>
      <c r="F4" s="182"/>
      <c r="G4" s="182" t="s">
        <v>408</v>
      </c>
      <c r="H4" s="182"/>
      <c r="I4" s="182" t="s">
        <v>406</v>
      </c>
      <c r="J4" s="182"/>
      <c r="K4" s="1"/>
      <c r="M4" s="187" t="str">
        <f>A1</f>
        <v>ÁREA INTERNA - PISOS FRIOS</v>
      </c>
      <c r="N4" s="187"/>
      <c r="O4" s="187"/>
      <c r="P4" s="187"/>
      <c r="Q4" s="187"/>
      <c r="R4" s="187"/>
      <c r="S4" s="187"/>
      <c r="T4" s="187"/>
      <c r="U4" s="188" t="e">
        <f>I7</f>
        <v>#DIV/0!</v>
      </c>
      <c r="V4" s="188"/>
      <c r="W4" s="188"/>
      <c r="X4" s="189">
        <f>'Tipos de Área e Produtivida'!C4</f>
        <v>0</v>
      </c>
      <c r="Y4" s="189"/>
      <c r="Z4" s="190" t="e">
        <f>TRUNC(X4*U4,2)</f>
        <v>#DIV/0!</v>
      </c>
      <c r="AA4" s="190"/>
      <c r="AB4" s="190"/>
      <c r="AC4" s="2"/>
    </row>
    <row r="5" spans="1:29">
      <c r="A5" s="174" t="s">
        <v>410</v>
      </c>
      <c r="B5" s="174"/>
      <c r="C5" s="174"/>
      <c r="D5" s="174"/>
      <c r="E5" s="175" t="s">
        <v>411</v>
      </c>
      <c r="F5" s="175"/>
      <c r="G5" s="176">
        <f>'Encarregado (Líder)'!$D$130</f>
        <v>0</v>
      </c>
      <c r="H5" s="176"/>
      <c r="I5" s="176" t="e">
        <f>TRUNC(1/(15*'Tipos de Área e Produtivida'!N4)*G5,2)</f>
        <v>#DIV/0!</v>
      </c>
      <c r="J5" s="176"/>
      <c r="K5" s="1"/>
      <c r="M5" s="187" t="str">
        <f>A9</f>
        <v>ÁREA INTERNA - LABORATÓRIOS</v>
      </c>
      <c r="N5" s="187"/>
      <c r="O5" s="187"/>
      <c r="P5" s="187"/>
      <c r="Q5" s="187"/>
      <c r="R5" s="187"/>
      <c r="S5" s="187"/>
      <c r="T5" s="187"/>
      <c r="U5" s="188" t="e">
        <f>I15</f>
        <v>#DIV/0!</v>
      </c>
      <c r="V5" s="188"/>
      <c r="W5" s="188"/>
      <c r="X5" s="189">
        <f>'Tipos de Área e Produtivida'!C5</f>
        <v>0</v>
      </c>
      <c r="Y5" s="189"/>
      <c r="Z5" s="190" t="e">
        <f t="shared" ref="Z5:Z12" si="0">TRUNC(X5*U5,2)</f>
        <v>#DIV/0!</v>
      </c>
      <c r="AA5" s="190"/>
      <c r="AB5" s="190"/>
      <c r="AC5" s="2"/>
    </row>
    <row r="6" spans="1:29">
      <c r="A6" s="174" t="s">
        <v>412</v>
      </c>
      <c r="B6" s="174"/>
      <c r="C6" s="174"/>
      <c r="D6" s="174"/>
      <c r="E6" s="175" t="s">
        <v>413</v>
      </c>
      <c r="F6" s="175"/>
      <c r="G6" s="176">
        <f>'ASG sem Insalubridade'!$D$129</f>
        <v>0</v>
      </c>
      <c r="H6" s="176"/>
      <c r="I6" s="176" t="e">
        <f>TRUNC((1/'Tipos de Área e Produtivida'!N4)*G6,2)</f>
        <v>#DIV/0!</v>
      </c>
      <c r="J6" s="176"/>
      <c r="K6" s="1"/>
      <c r="M6" s="187" t="str">
        <f>A17</f>
        <v>ÁREA INTERNA - ALMOXARIFADOS | GALPÕES</v>
      </c>
      <c r="N6" s="187"/>
      <c r="O6" s="187"/>
      <c r="P6" s="187"/>
      <c r="Q6" s="187"/>
      <c r="R6" s="187"/>
      <c r="S6" s="187"/>
      <c r="T6" s="187"/>
      <c r="U6" s="188" t="e">
        <f>I23</f>
        <v>#DIV/0!</v>
      </c>
      <c r="V6" s="188"/>
      <c r="W6" s="188"/>
      <c r="X6" s="189">
        <f>'Tipos de Área e Produtivida'!C6</f>
        <v>0</v>
      </c>
      <c r="Y6" s="189"/>
      <c r="Z6" s="190" t="e">
        <f t="shared" si="0"/>
        <v>#DIV/0!</v>
      </c>
      <c r="AA6" s="190"/>
      <c r="AB6" s="190"/>
      <c r="AC6" s="2"/>
    </row>
    <row r="7" spans="1:29">
      <c r="A7" s="177" t="s">
        <v>179</v>
      </c>
      <c r="B7" s="177"/>
      <c r="C7" s="177"/>
      <c r="D7" s="177"/>
      <c r="E7" s="177"/>
      <c r="F7" s="177"/>
      <c r="G7" s="177"/>
      <c r="H7" s="177"/>
      <c r="I7" s="178" t="e">
        <f>TRUNC(SUM(I5:J6),2)</f>
        <v>#DIV/0!</v>
      </c>
      <c r="J7" s="178"/>
      <c r="K7" s="1"/>
      <c r="M7" s="187" t="str">
        <f>A25</f>
        <v>ÁREA INTERNA - OFICINAS</v>
      </c>
      <c r="N7" s="187"/>
      <c r="O7" s="187"/>
      <c r="P7" s="187"/>
      <c r="Q7" s="187"/>
      <c r="R7" s="187"/>
      <c r="S7" s="187"/>
      <c r="T7" s="187"/>
      <c r="U7" s="188" t="e">
        <f>I31</f>
        <v>#DIV/0!</v>
      </c>
      <c r="V7" s="188"/>
      <c r="W7" s="188"/>
      <c r="X7" s="189">
        <f>'Tipos de Área e Produtivida'!C7</f>
        <v>0</v>
      </c>
      <c r="Y7" s="189"/>
      <c r="Z7" s="190" t="e">
        <f t="shared" si="0"/>
        <v>#DIV/0!</v>
      </c>
      <c r="AA7" s="190"/>
      <c r="AB7" s="190"/>
      <c r="AC7" s="2"/>
    </row>
    <row r="8" spans="1:29">
      <c r="A8" s="184"/>
      <c r="B8" s="184"/>
      <c r="C8" s="184"/>
      <c r="D8" s="184"/>
      <c r="E8" s="184"/>
      <c r="F8" s="184"/>
      <c r="G8" s="184"/>
      <c r="H8" s="184"/>
      <c r="I8" s="184"/>
      <c r="J8" s="184"/>
      <c r="K8" s="1"/>
      <c r="M8" s="187" t="str">
        <f>A33</f>
        <v>ÁREA INTERNA - ÁREAS COM ESPAÇOS LIVRES - SAGUÃO | HALL | SALÃO</v>
      </c>
      <c r="N8" s="187"/>
      <c r="O8" s="187"/>
      <c r="P8" s="187"/>
      <c r="Q8" s="187"/>
      <c r="R8" s="187"/>
      <c r="S8" s="187"/>
      <c r="T8" s="187"/>
      <c r="U8" s="188" t="e">
        <f>I39</f>
        <v>#DIV/0!</v>
      </c>
      <c r="V8" s="188"/>
      <c r="W8" s="188"/>
      <c r="X8" s="189">
        <f>'Tipos de Área e Produtivida'!C8</f>
        <v>0</v>
      </c>
      <c r="Y8" s="189"/>
      <c r="Z8" s="190" t="e">
        <f t="shared" si="0"/>
        <v>#DIV/0!</v>
      </c>
      <c r="AA8" s="190"/>
      <c r="AB8" s="190"/>
      <c r="AC8" s="2"/>
    </row>
    <row r="9" spans="1:29" ht="15.75">
      <c r="A9" s="179" t="s">
        <v>414</v>
      </c>
      <c r="B9" s="179"/>
      <c r="C9" s="179"/>
      <c r="D9" s="179"/>
      <c r="E9" s="179"/>
      <c r="F9" s="179"/>
      <c r="G9" s="179"/>
      <c r="H9" s="179"/>
      <c r="I9" s="179"/>
      <c r="J9" s="179"/>
      <c r="K9" s="1"/>
      <c r="M9" s="187" t="str">
        <f>A41</f>
        <v>ÁREA INTERNA - BANHEIROS</v>
      </c>
      <c r="N9" s="187"/>
      <c r="O9" s="187"/>
      <c r="P9" s="187"/>
      <c r="Q9" s="187"/>
      <c r="R9" s="187"/>
      <c r="S9" s="187"/>
      <c r="T9" s="187"/>
      <c r="U9" s="188" t="e">
        <f>I47</f>
        <v>#DIV/0!</v>
      </c>
      <c r="V9" s="188"/>
      <c r="W9" s="188"/>
      <c r="X9" s="189">
        <v>0</v>
      </c>
      <c r="Y9" s="189"/>
      <c r="Z9" s="190" t="e">
        <f t="shared" si="0"/>
        <v>#DIV/0!</v>
      </c>
      <c r="AA9" s="190"/>
      <c r="AB9" s="190"/>
      <c r="AC9" s="2"/>
    </row>
    <row r="10" spans="1:29">
      <c r="A10" s="183" t="s">
        <v>396</v>
      </c>
      <c r="B10" s="183"/>
      <c r="C10" s="183"/>
      <c r="D10" s="183"/>
      <c r="E10" s="180" t="s">
        <v>397</v>
      </c>
      <c r="F10" s="180"/>
      <c r="G10" s="180" t="s">
        <v>398</v>
      </c>
      <c r="H10" s="180"/>
      <c r="I10" s="180" t="s">
        <v>399</v>
      </c>
      <c r="J10" s="180"/>
      <c r="K10" s="1"/>
      <c r="M10" s="187" t="str">
        <f>A49</f>
        <v>ÁREA EXTERNA - PISOS PAVIMENTADOS ADJACENTES | CONTÍGUOS ÀS EDIFICAÇÕES</v>
      </c>
      <c r="N10" s="187"/>
      <c r="O10" s="187"/>
      <c r="P10" s="187"/>
      <c r="Q10" s="187"/>
      <c r="R10" s="187"/>
      <c r="S10" s="187"/>
      <c r="T10" s="187"/>
      <c r="U10" s="188" t="e">
        <f>I55</f>
        <v>#DIV/0!</v>
      </c>
      <c r="V10" s="188"/>
      <c r="W10" s="188"/>
      <c r="X10" s="189">
        <f>'Tipos de Área e Produtivida'!C10</f>
        <v>0</v>
      </c>
      <c r="Y10" s="189"/>
      <c r="Z10" s="190" t="e">
        <f t="shared" si="0"/>
        <v>#DIV/0!</v>
      </c>
      <c r="AA10" s="190"/>
      <c r="AB10" s="190"/>
      <c r="AC10" s="2"/>
    </row>
    <row r="11" spans="1:29">
      <c r="A11" s="183"/>
      <c r="B11" s="183"/>
      <c r="C11" s="183"/>
      <c r="D11" s="183"/>
      <c r="E11" s="181" t="s">
        <v>404</v>
      </c>
      <c r="F11" s="181"/>
      <c r="G11" s="181" t="s">
        <v>405</v>
      </c>
      <c r="H11" s="181"/>
      <c r="I11" s="181" t="s">
        <v>403</v>
      </c>
      <c r="J11" s="181"/>
      <c r="K11" s="1"/>
      <c r="M11" s="187" t="str">
        <f>A57</f>
        <v>ÁREA EXTERNA - VARRIÇÃO DE PASSEIOS E ARRUAMENTOS</v>
      </c>
      <c r="N11" s="187"/>
      <c r="O11" s="187"/>
      <c r="P11" s="187"/>
      <c r="Q11" s="187"/>
      <c r="R11" s="187"/>
      <c r="S11" s="187"/>
      <c r="T11" s="187"/>
      <c r="U11" s="188" t="e">
        <f>I63</f>
        <v>#DIV/0!</v>
      </c>
      <c r="V11" s="188"/>
      <c r="W11" s="188"/>
      <c r="X11" s="189">
        <f>'Tipos de Área e Produtivida'!C11</f>
        <v>0</v>
      </c>
      <c r="Y11" s="189"/>
      <c r="Z11" s="190" t="e">
        <f t="shared" si="0"/>
        <v>#DIV/0!</v>
      </c>
      <c r="AA11" s="190"/>
      <c r="AB11" s="190"/>
      <c r="AC11" s="2"/>
    </row>
    <row r="12" spans="1:29">
      <c r="A12" s="183"/>
      <c r="B12" s="183"/>
      <c r="C12" s="183"/>
      <c r="D12" s="183"/>
      <c r="E12" s="182" t="s">
        <v>409</v>
      </c>
      <c r="F12" s="182"/>
      <c r="G12" s="182" t="s">
        <v>408</v>
      </c>
      <c r="H12" s="182"/>
      <c r="I12" s="182" t="s">
        <v>406</v>
      </c>
      <c r="J12" s="182"/>
      <c r="K12" s="1"/>
      <c r="M12" s="187" t="str">
        <f>A65</f>
        <v>ÁREA EXTERNA - PÁTIOS E ÁREAS VERDES COM MÉDIA FREQUÊNCIA</v>
      </c>
      <c r="N12" s="187"/>
      <c r="O12" s="187"/>
      <c r="P12" s="187"/>
      <c r="Q12" s="187"/>
      <c r="R12" s="187"/>
      <c r="S12" s="187"/>
      <c r="T12" s="187"/>
      <c r="U12" s="188" t="e">
        <f>I71</f>
        <v>#DIV/0!</v>
      </c>
      <c r="V12" s="188"/>
      <c r="W12" s="188"/>
      <c r="X12" s="189">
        <f>'Tipos de Área e Produtivida'!C13</f>
        <v>0</v>
      </c>
      <c r="Y12" s="189"/>
      <c r="Z12" s="190" t="e">
        <f t="shared" si="0"/>
        <v>#DIV/0!</v>
      </c>
      <c r="AA12" s="190"/>
      <c r="AB12" s="190"/>
      <c r="AC12" s="2"/>
    </row>
    <row r="13" spans="1:29">
      <c r="A13" s="171" t="s">
        <v>410</v>
      </c>
      <c r="B13" s="172"/>
      <c r="C13" s="172"/>
      <c r="D13" s="173"/>
      <c r="E13" s="169" t="s">
        <v>411</v>
      </c>
      <c r="F13" s="170"/>
      <c r="G13" s="167">
        <f>'Encarregado (Líder)'!$D$130</f>
        <v>0</v>
      </c>
      <c r="H13" s="168"/>
      <c r="I13" s="167" t="e">
        <f>TRUNC(1/(15*'Tipos de Área e Produtivida'!N5)*G13,2)</f>
        <v>#DIV/0!</v>
      </c>
      <c r="J13" s="168"/>
      <c r="K13" s="1"/>
      <c r="M13" s="164"/>
      <c r="N13" s="165"/>
      <c r="O13" s="165"/>
      <c r="P13" s="165"/>
      <c r="Q13" s="165"/>
      <c r="R13" s="165"/>
      <c r="S13" s="165"/>
      <c r="T13" s="166"/>
      <c r="U13" s="161"/>
      <c r="V13" s="162"/>
      <c r="W13" s="163"/>
      <c r="X13" s="159"/>
      <c r="Y13" s="160"/>
      <c r="Z13" s="156"/>
      <c r="AA13" s="157"/>
      <c r="AB13" s="158"/>
      <c r="AC13" s="2"/>
    </row>
    <row r="14" spans="1:29">
      <c r="A14" s="174" t="s">
        <v>412</v>
      </c>
      <c r="B14" s="174"/>
      <c r="C14" s="174"/>
      <c r="D14" s="174"/>
      <c r="E14" s="175" t="s">
        <v>413</v>
      </c>
      <c r="F14" s="175"/>
      <c r="G14" s="176">
        <f>'ASG sem Insalubridade'!$D$129</f>
        <v>0</v>
      </c>
      <c r="H14" s="176"/>
      <c r="I14" s="176" t="e">
        <f>TRUNC((1/'Tipos de Área e Produtivida'!N5)*G14,2)</f>
        <v>#DIV/0!</v>
      </c>
      <c r="J14" s="176"/>
      <c r="K14" s="1"/>
      <c r="M14" s="183" t="s">
        <v>415</v>
      </c>
      <c r="N14" s="183"/>
      <c r="O14" s="183"/>
      <c r="P14" s="183"/>
      <c r="Q14" s="183"/>
      <c r="R14" s="183"/>
      <c r="S14" s="183"/>
      <c r="T14" s="183"/>
      <c r="U14" s="180"/>
      <c r="V14" s="180"/>
      <c r="W14" s="180"/>
      <c r="X14" s="180"/>
      <c r="Y14" s="180"/>
      <c r="Z14" s="186" t="e">
        <f>TRUNC(SUM(Z4:AB13),2)</f>
        <v>#DIV/0!</v>
      </c>
      <c r="AA14" s="186"/>
      <c r="AB14" s="186"/>
    </row>
    <row r="15" spans="1:29">
      <c r="A15" s="177" t="s">
        <v>179</v>
      </c>
      <c r="B15" s="177"/>
      <c r="C15" s="177"/>
      <c r="D15" s="177"/>
      <c r="E15" s="177"/>
      <c r="F15" s="177"/>
      <c r="G15" s="177"/>
      <c r="H15" s="177"/>
      <c r="I15" s="178" t="e">
        <f>TRUNC(SUM(I13:J14),2)</f>
        <v>#DIV/0!</v>
      </c>
      <c r="J15" s="178"/>
      <c r="K15" s="1"/>
      <c r="M15" s="183" t="s">
        <v>416</v>
      </c>
      <c r="N15" s="183"/>
      <c r="O15" s="183"/>
      <c r="P15" s="183"/>
      <c r="Q15" s="183"/>
      <c r="R15" s="183"/>
      <c r="S15" s="183"/>
      <c r="T15" s="183"/>
      <c r="U15" s="180"/>
      <c r="V15" s="180"/>
      <c r="W15" s="180"/>
      <c r="X15" s="180"/>
      <c r="Y15" s="180"/>
      <c r="Z15" s="186" t="e">
        <f>TRUNC(Z14*12,2)</f>
        <v>#DIV/0!</v>
      </c>
      <c r="AA15" s="186"/>
      <c r="AB15" s="186"/>
    </row>
    <row r="16" spans="1:29">
      <c r="A16" s="185"/>
      <c r="B16" s="185"/>
      <c r="C16" s="185"/>
      <c r="D16" s="185"/>
      <c r="E16" s="185"/>
      <c r="F16" s="185"/>
      <c r="G16" s="185"/>
      <c r="H16" s="185"/>
      <c r="I16" s="185"/>
      <c r="J16" s="185"/>
      <c r="K16" s="1"/>
    </row>
    <row r="17" spans="1:11" ht="15.75">
      <c r="A17" s="179" t="s">
        <v>417</v>
      </c>
      <c r="B17" s="179"/>
      <c r="C17" s="179"/>
      <c r="D17" s="179"/>
      <c r="E17" s="179"/>
      <c r="F17" s="179"/>
      <c r="G17" s="179"/>
      <c r="H17" s="179"/>
      <c r="I17" s="179"/>
      <c r="J17" s="179"/>
      <c r="K17" s="1"/>
    </row>
    <row r="18" spans="1:11">
      <c r="A18" s="183" t="s">
        <v>396</v>
      </c>
      <c r="B18" s="183"/>
      <c r="C18" s="183"/>
      <c r="D18" s="183"/>
      <c r="E18" s="180" t="s">
        <v>397</v>
      </c>
      <c r="F18" s="180"/>
      <c r="G18" s="180" t="s">
        <v>398</v>
      </c>
      <c r="H18" s="180"/>
      <c r="I18" s="180" t="s">
        <v>399</v>
      </c>
      <c r="J18" s="180"/>
      <c r="K18" s="1"/>
    </row>
    <row r="19" spans="1:11">
      <c r="A19" s="183"/>
      <c r="B19" s="183"/>
      <c r="C19" s="183"/>
      <c r="D19" s="183"/>
      <c r="E19" s="181" t="s">
        <v>404</v>
      </c>
      <c r="F19" s="181"/>
      <c r="G19" s="181" t="s">
        <v>405</v>
      </c>
      <c r="H19" s="181"/>
      <c r="I19" s="181" t="s">
        <v>403</v>
      </c>
      <c r="J19" s="181"/>
      <c r="K19" s="1"/>
    </row>
    <row r="20" spans="1:11">
      <c r="A20" s="183"/>
      <c r="B20" s="183"/>
      <c r="C20" s="183"/>
      <c r="D20" s="183"/>
      <c r="E20" s="182" t="s">
        <v>409</v>
      </c>
      <c r="F20" s="182"/>
      <c r="G20" s="182" t="s">
        <v>408</v>
      </c>
      <c r="H20" s="182"/>
      <c r="I20" s="182" t="s">
        <v>406</v>
      </c>
      <c r="J20" s="182"/>
      <c r="K20" s="1"/>
    </row>
    <row r="21" spans="1:11">
      <c r="A21" s="174" t="s">
        <v>410</v>
      </c>
      <c r="B21" s="174"/>
      <c r="C21" s="174"/>
      <c r="D21" s="174"/>
      <c r="E21" s="175" t="s">
        <v>411</v>
      </c>
      <c r="F21" s="175"/>
      <c r="G21" s="176">
        <f>'Encarregado (Líder)'!$D$130</f>
        <v>0</v>
      </c>
      <c r="H21" s="176"/>
      <c r="I21" s="176" t="e">
        <f>TRUNC(1/(15*'Tipos de Área e Produtivida'!N6)*G21,2)</f>
        <v>#DIV/0!</v>
      </c>
      <c r="J21" s="176"/>
      <c r="K21" s="1"/>
    </row>
    <row r="22" spans="1:11">
      <c r="A22" s="174" t="s">
        <v>412</v>
      </c>
      <c r="B22" s="174"/>
      <c r="C22" s="174"/>
      <c r="D22" s="174"/>
      <c r="E22" s="175" t="s">
        <v>413</v>
      </c>
      <c r="F22" s="175"/>
      <c r="G22" s="176">
        <f>'ASG sem Insalubridade'!$D$129</f>
        <v>0</v>
      </c>
      <c r="H22" s="176"/>
      <c r="I22" s="176" t="e">
        <f>TRUNC((1/'Tipos de Área e Produtivida'!N6)*G22,2)</f>
        <v>#DIV/0!</v>
      </c>
      <c r="J22" s="176"/>
      <c r="K22" s="1"/>
    </row>
    <row r="23" spans="1:11">
      <c r="A23" s="177" t="s">
        <v>179</v>
      </c>
      <c r="B23" s="177"/>
      <c r="C23" s="177"/>
      <c r="D23" s="177"/>
      <c r="E23" s="177"/>
      <c r="F23" s="177"/>
      <c r="G23" s="177"/>
      <c r="H23" s="177"/>
      <c r="I23" s="178" t="e">
        <f>TRUNC(SUM(I21:J22),2)</f>
        <v>#DIV/0!</v>
      </c>
      <c r="J23" s="178"/>
      <c r="K23" s="1"/>
    </row>
    <row r="24" spans="1:11">
      <c r="A24" s="184"/>
      <c r="B24" s="184"/>
      <c r="C24" s="184"/>
      <c r="D24" s="184"/>
      <c r="E24" s="184"/>
      <c r="F24" s="184"/>
      <c r="G24" s="184"/>
      <c r="H24" s="184"/>
      <c r="I24" s="184"/>
      <c r="J24" s="184"/>
      <c r="K24" s="1"/>
    </row>
    <row r="25" spans="1:11" ht="15.75">
      <c r="A25" s="179" t="s">
        <v>418</v>
      </c>
      <c r="B25" s="179"/>
      <c r="C25" s="179"/>
      <c r="D25" s="179"/>
      <c r="E25" s="179"/>
      <c r="F25" s="179"/>
      <c r="G25" s="179"/>
      <c r="H25" s="179"/>
      <c r="I25" s="179"/>
      <c r="J25" s="179"/>
      <c r="K25" s="1"/>
    </row>
    <row r="26" spans="1:11">
      <c r="A26" s="183" t="s">
        <v>396</v>
      </c>
      <c r="B26" s="183"/>
      <c r="C26" s="183"/>
      <c r="D26" s="183"/>
      <c r="E26" s="180" t="s">
        <v>397</v>
      </c>
      <c r="F26" s="180"/>
      <c r="G26" s="180" t="s">
        <v>398</v>
      </c>
      <c r="H26" s="180"/>
      <c r="I26" s="180" t="s">
        <v>399</v>
      </c>
      <c r="J26" s="180"/>
      <c r="K26" s="1"/>
    </row>
    <row r="27" spans="1:11">
      <c r="A27" s="183"/>
      <c r="B27" s="183"/>
      <c r="C27" s="183"/>
      <c r="D27" s="183"/>
      <c r="E27" s="181" t="s">
        <v>404</v>
      </c>
      <c r="F27" s="181"/>
      <c r="G27" s="181" t="s">
        <v>405</v>
      </c>
      <c r="H27" s="181"/>
      <c r="I27" s="181" t="s">
        <v>403</v>
      </c>
      <c r="J27" s="181"/>
      <c r="K27" s="1"/>
    </row>
    <row r="28" spans="1:11">
      <c r="A28" s="183"/>
      <c r="B28" s="183"/>
      <c r="C28" s="183"/>
      <c r="D28" s="183"/>
      <c r="E28" s="182" t="s">
        <v>409</v>
      </c>
      <c r="F28" s="182"/>
      <c r="G28" s="182" t="s">
        <v>408</v>
      </c>
      <c r="H28" s="182"/>
      <c r="I28" s="182" t="s">
        <v>406</v>
      </c>
      <c r="J28" s="182"/>
      <c r="K28" s="1"/>
    </row>
    <row r="29" spans="1:11">
      <c r="A29" s="174" t="s">
        <v>410</v>
      </c>
      <c r="B29" s="174"/>
      <c r="C29" s="174"/>
      <c r="D29" s="174"/>
      <c r="E29" s="175" t="s">
        <v>411</v>
      </c>
      <c r="F29" s="175"/>
      <c r="G29" s="176">
        <f>'Encarregado (Líder)'!$D$130</f>
        <v>0</v>
      </c>
      <c r="H29" s="176"/>
      <c r="I29" s="176" t="e">
        <f>TRUNC(1/(15*'Tipos de Área e Produtivida'!N7)*G29,2)</f>
        <v>#DIV/0!</v>
      </c>
      <c r="J29" s="176"/>
      <c r="K29" s="1"/>
    </row>
    <row r="30" spans="1:11">
      <c r="A30" s="174" t="s">
        <v>412</v>
      </c>
      <c r="B30" s="174"/>
      <c r="C30" s="174"/>
      <c r="D30" s="174"/>
      <c r="E30" s="175" t="s">
        <v>413</v>
      </c>
      <c r="F30" s="175"/>
      <c r="G30" s="176">
        <f>'ASG sem Insalubridade'!$D$129</f>
        <v>0</v>
      </c>
      <c r="H30" s="176"/>
      <c r="I30" s="176" t="e">
        <f>TRUNC((1/'Tipos de Área e Produtivida'!N7)*G30,2)</f>
        <v>#DIV/0!</v>
      </c>
      <c r="J30" s="176"/>
      <c r="K30" s="1"/>
    </row>
    <row r="31" spans="1:11">
      <c r="A31" s="177" t="s">
        <v>179</v>
      </c>
      <c r="B31" s="177"/>
      <c r="C31" s="177"/>
      <c r="D31" s="177"/>
      <c r="E31" s="177"/>
      <c r="F31" s="177"/>
      <c r="G31" s="177"/>
      <c r="H31" s="177"/>
      <c r="I31" s="178" t="e">
        <f>TRUNC(SUM(I29:J30),2)</f>
        <v>#DIV/0!</v>
      </c>
      <c r="J31" s="178"/>
      <c r="K31" s="1"/>
    </row>
    <row r="32" spans="1:11">
      <c r="A32" s="1"/>
      <c r="B32" s="1"/>
      <c r="C32" s="1"/>
      <c r="D32" s="1"/>
      <c r="E32" s="1"/>
      <c r="F32" s="1"/>
      <c r="G32" s="1"/>
      <c r="H32" s="1"/>
      <c r="I32" s="1"/>
      <c r="J32" s="1"/>
      <c r="K32" s="1"/>
    </row>
    <row r="33" spans="1:11" ht="15.75">
      <c r="A33" s="179" t="s">
        <v>419</v>
      </c>
      <c r="B33" s="179"/>
      <c r="C33" s="179"/>
      <c r="D33" s="179"/>
      <c r="E33" s="179"/>
      <c r="F33" s="179"/>
      <c r="G33" s="179"/>
      <c r="H33" s="179"/>
      <c r="I33" s="179"/>
      <c r="J33" s="179"/>
      <c r="K33" s="1"/>
    </row>
    <row r="34" spans="1:11">
      <c r="A34" s="183" t="s">
        <v>396</v>
      </c>
      <c r="B34" s="183"/>
      <c r="C34" s="183"/>
      <c r="D34" s="183"/>
      <c r="E34" s="180" t="s">
        <v>397</v>
      </c>
      <c r="F34" s="180"/>
      <c r="G34" s="180" t="s">
        <v>398</v>
      </c>
      <c r="H34" s="180"/>
      <c r="I34" s="180" t="s">
        <v>399</v>
      </c>
      <c r="J34" s="180"/>
      <c r="K34" s="1"/>
    </row>
    <row r="35" spans="1:11">
      <c r="A35" s="183"/>
      <c r="B35" s="183"/>
      <c r="C35" s="183"/>
      <c r="D35" s="183"/>
      <c r="E35" s="181" t="s">
        <v>404</v>
      </c>
      <c r="F35" s="181"/>
      <c r="G35" s="181" t="s">
        <v>405</v>
      </c>
      <c r="H35" s="181"/>
      <c r="I35" s="181" t="s">
        <v>403</v>
      </c>
      <c r="J35" s="181"/>
      <c r="K35" s="1"/>
    </row>
    <row r="36" spans="1:11">
      <c r="A36" s="183"/>
      <c r="B36" s="183"/>
      <c r="C36" s="183"/>
      <c r="D36" s="183"/>
      <c r="E36" s="182" t="s">
        <v>409</v>
      </c>
      <c r="F36" s="182"/>
      <c r="G36" s="182" t="s">
        <v>408</v>
      </c>
      <c r="H36" s="182"/>
      <c r="I36" s="182" t="s">
        <v>406</v>
      </c>
      <c r="J36" s="182"/>
      <c r="K36" s="1"/>
    </row>
    <row r="37" spans="1:11">
      <c r="A37" s="174" t="s">
        <v>410</v>
      </c>
      <c r="B37" s="174"/>
      <c r="C37" s="174"/>
      <c r="D37" s="174"/>
      <c r="E37" s="175" t="s">
        <v>411</v>
      </c>
      <c r="F37" s="175"/>
      <c r="G37" s="176">
        <f>'Encarregado (Líder)'!$D$130</f>
        <v>0</v>
      </c>
      <c r="H37" s="176"/>
      <c r="I37" s="176" t="e">
        <f>TRUNC(1/(15*'Tipos de Área e Produtivida'!N8)*G37,2)</f>
        <v>#DIV/0!</v>
      </c>
      <c r="J37" s="176"/>
      <c r="K37" s="1"/>
    </row>
    <row r="38" spans="1:11">
      <c r="A38" s="174" t="s">
        <v>412</v>
      </c>
      <c r="B38" s="174"/>
      <c r="C38" s="174"/>
      <c r="D38" s="174"/>
      <c r="E38" s="175" t="s">
        <v>413</v>
      </c>
      <c r="F38" s="175"/>
      <c r="G38" s="176">
        <f>'ASG sem Insalubridade'!$D$129</f>
        <v>0</v>
      </c>
      <c r="H38" s="176"/>
      <c r="I38" s="176" t="e">
        <f>TRUNC((1/'Tipos de Área e Produtivida'!N8)*G38,2)</f>
        <v>#DIV/0!</v>
      </c>
      <c r="J38" s="176"/>
      <c r="K38" s="1"/>
    </row>
    <row r="39" spans="1:11">
      <c r="A39" s="177" t="s">
        <v>179</v>
      </c>
      <c r="B39" s="177"/>
      <c r="C39" s="177"/>
      <c r="D39" s="177"/>
      <c r="E39" s="177"/>
      <c r="F39" s="177"/>
      <c r="G39" s="177"/>
      <c r="H39" s="177"/>
      <c r="I39" s="178" t="e">
        <f>TRUNC(SUM(I37:J38),2)</f>
        <v>#DIV/0!</v>
      </c>
      <c r="J39" s="178"/>
      <c r="K39" s="1"/>
    </row>
    <row r="40" spans="1:11">
      <c r="A40" s="1"/>
      <c r="B40" s="1"/>
      <c r="C40" s="1"/>
      <c r="D40" s="1"/>
      <c r="E40" s="1"/>
      <c r="F40" s="1"/>
      <c r="G40" s="1"/>
      <c r="H40" s="1"/>
      <c r="I40" s="1"/>
      <c r="J40" s="1"/>
      <c r="K40" s="1"/>
    </row>
    <row r="41" spans="1:11" ht="15.75">
      <c r="A41" s="179" t="s">
        <v>420</v>
      </c>
      <c r="B41" s="179"/>
      <c r="C41" s="179"/>
      <c r="D41" s="179"/>
      <c r="E41" s="179"/>
      <c r="F41" s="179"/>
      <c r="G41" s="179"/>
      <c r="H41" s="179"/>
      <c r="I41" s="179"/>
      <c r="J41" s="179"/>
      <c r="K41" s="1"/>
    </row>
    <row r="42" spans="1:11">
      <c r="A42" s="183" t="s">
        <v>396</v>
      </c>
      <c r="B42" s="183"/>
      <c r="C42" s="183"/>
      <c r="D42" s="183"/>
      <c r="E42" s="180" t="s">
        <v>397</v>
      </c>
      <c r="F42" s="180"/>
      <c r="G42" s="180" t="s">
        <v>398</v>
      </c>
      <c r="H42" s="180"/>
      <c r="I42" s="180" t="s">
        <v>399</v>
      </c>
      <c r="J42" s="180"/>
      <c r="K42" s="1"/>
    </row>
    <row r="43" spans="1:11">
      <c r="A43" s="183"/>
      <c r="B43" s="183"/>
      <c r="C43" s="183"/>
      <c r="D43" s="183"/>
      <c r="E43" s="181" t="s">
        <v>404</v>
      </c>
      <c r="F43" s="181"/>
      <c r="G43" s="181" t="s">
        <v>405</v>
      </c>
      <c r="H43" s="181"/>
      <c r="I43" s="181" t="s">
        <v>403</v>
      </c>
      <c r="J43" s="181"/>
      <c r="K43" s="1"/>
    </row>
    <row r="44" spans="1:11">
      <c r="A44" s="183"/>
      <c r="B44" s="183"/>
      <c r="C44" s="183"/>
      <c r="D44" s="183"/>
      <c r="E44" s="182" t="s">
        <v>409</v>
      </c>
      <c r="F44" s="182"/>
      <c r="G44" s="182" t="s">
        <v>408</v>
      </c>
      <c r="H44" s="182"/>
      <c r="I44" s="182" t="s">
        <v>406</v>
      </c>
      <c r="J44" s="182"/>
      <c r="K44" s="1"/>
    </row>
    <row r="45" spans="1:11">
      <c r="A45" s="174" t="s">
        <v>410</v>
      </c>
      <c r="B45" s="174"/>
      <c r="C45" s="174"/>
      <c r="D45" s="174"/>
      <c r="E45" s="175" t="s">
        <v>411</v>
      </c>
      <c r="F45" s="175"/>
      <c r="G45" s="176">
        <f>'Encarregado (Líder)'!$D$130</f>
        <v>0</v>
      </c>
      <c r="H45" s="176"/>
      <c r="I45" s="176" t="e">
        <f>TRUNC(1/(15*'Tipos de Área e Produtivida'!N9)*G45,2)</f>
        <v>#DIV/0!</v>
      </c>
      <c r="J45" s="176"/>
      <c r="K45" s="1"/>
    </row>
    <row r="46" spans="1:11">
      <c r="A46" s="174" t="s">
        <v>412</v>
      </c>
      <c r="B46" s="174"/>
      <c r="C46" s="174"/>
      <c r="D46" s="174"/>
      <c r="E46" s="175" t="s">
        <v>413</v>
      </c>
      <c r="F46" s="175"/>
      <c r="G46" s="176">
        <f>'ASG com Insalubridade (40%)'!$D$129</f>
        <v>0</v>
      </c>
      <c r="H46" s="176"/>
      <c r="I46" s="176" t="e">
        <f>TRUNC((1/'Tipos de Área e Produtivida'!N9)*G46,2)</f>
        <v>#DIV/0!</v>
      </c>
      <c r="J46" s="176"/>
      <c r="K46" s="1"/>
    </row>
    <row r="47" spans="1:11">
      <c r="A47" s="177" t="s">
        <v>179</v>
      </c>
      <c r="B47" s="177"/>
      <c r="C47" s="177"/>
      <c r="D47" s="177"/>
      <c r="E47" s="177"/>
      <c r="F47" s="177"/>
      <c r="G47" s="177"/>
      <c r="H47" s="177"/>
      <c r="I47" s="178" t="e">
        <f>TRUNC(SUM(I45:J46),2)</f>
        <v>#DIV/0!</v>
      </c>
      <c r="J47" s="178"/>
      <c r="K47" s="1"/>
    </row>
    <row r="48" spans="1:11">
      <c r="A48" s="1"/>
      <c r="B48" s="1"/>
      <c r="C48" s="1"/>
      <c r="D48" s="1"/>
      <c r="E48" s="1"/>
      <c r="F48" s="1"/>
      <c r="G48" s="1"/>
      <c r="H48" s="1"/>
      <c r="I48" s="1"/>
      <c r="J48" s="1"/>
      <c r="K48" s="1"/>
    </row>
    <row r="49" spans="1:11" ht="15.75">
      <c r="A49" s="179" t="s">
        <v>421</v>
      </c>
      <c r="B49" s="179"/>
      <c r="C49" s="179"/>
      <c r="D49" s="179"/>
      <c r="E49" s="179"/>
      <c r="F49" s="179"/>
      <c r="G49" s="179"/>
      <c r="H49" s="179"/>
      <c r="I49" s="179"/>
      <c r="J49" s="179"/>
      <c r="K49" s="1"/>
    </row>
    <row r="50" spans="1:11">
      <c r="A50" s="183" t="s">
        <v>396</v>
      </c>
      <c r="B50" s="183"/>
      <c r="C50" s="183"/>
      <c r="D50" s="183"/>
      <c r="E50" s="180" t="s">
        <v>397</v>
      </c>
      <c r="F50" s="180"/>
      <c r="G50" s="180" t="s">
        <v>398</v>
      </c>
      <c r="H50" s="180"/>
      <c r="I50" s="180" t="s">
        <v>399</v>
      </c>
      <c r="J50" s="180"/>
      <c r="K50" s="1"/>
    </row>
    <row r="51" spans="1:11">
      <c r="A51" s="183"/>
      <c r="B51" s="183"/>
      <c r="C51" s="183"/>
      <c r="D51" s="183"/>
      <c r="E51" s="181" t="s">
        <v>404</v>
      </c>
      <c r="F51" s="181"/>
      <c r="G51" s="181" t="s">
        <v>405</v>
      </c>
      <c r="H51" s="181"/>
      <c r="I51" s="181" t="s">
        <v>403</v>
      </c>
      <c r="J51" s="181"/>
      <c r="K51" s="1"/>
    </row>
    <row r="52" spans="1:11">
      <c r="A52" s="183"/>
      <c r="B52" s="183"/>
      <c r="C52" s="183"/>
      <c r="D52" s="183"/>
      <c r="E52" s="182" t="s">
        <v>409</v>
      </c>
      <c r="F52" s="182"/>
      <c r="G52" s="182" t="s">
        <v>408</v>
      </c>
      <c r="H52" s="182"/>
      <c r="I52" s="182" t="s">
        <v>406</v>
      </c>
      <c r="J52" s="182"/>
      <c r="K52" s="1"/>
    </row>
    <row r="53" spans="1:11">
      <c r="A53" s="174" t="s">
        <v>410</v>
      </c>
      <c r="B53" s="174"/>
      <c r="C53" s="174"/>
      <c r="D53" s="174"/>
      <c r="E53" s="175" t="s">
        <v>411</v>
      </c>
      <c r="F53" s="175"/>
      <c r="G53" s="176">
        <f>'Encarregado (Líder)'!$D$130</f>
        <v>0</v>
      </c>
      <c r="H53" s="176"/>
      <c r="I53" s="176" t="e">
        <f>TRUNC(1/(15*'Tipos de Área e Produtivida'!N10)*G53,2)</f>
        <v>#DIV/0!</v>
      </c>
      <c r="J53" s="176"/>
      <c r="K53" s="1"/>
    </row>
    <row r="54" spans="1:11">
      <c r="A54" s="174" t="s">
        <v>412</v>
      </c>
      <c r="B54" s="174"/>
      <c r="C54" s="174"/>
      <c r="D54" s="174"/>
      <c r="E54" s="175" t="s">
        <v>413</v>
      </c>
      <c r="F54" s="175"/>
      <c r="G54" s="176">
        <f>'ASG sem Insalubridade'!$D$129</f>
        <v>0</v>
      </c>
      <c r="H54" s="176"/>
      <c r="I54" s="176" t="e">
        <f>TRUNC((1/'Tipos de Área e Produtivida'!N10)*G54,2)</f>
        <v>#DIV/0!</v>
      </c>
      <c r="J54" s="176"/>
      <c r="K54" s="1"/>
    </row>
    <row r="55" spans="1:11">
      <c r="A55" s="177" t="s">
        <v>179</v>
      </c>
      <c r="B55" s="177"/>
      <c r="C55" s="177"/>
      <c r="D55" s="177"/>
      <c r="E55" s="177"/>
      <c r="F55" s="177"/>
      <c r="G55" s="177"/>
      <c r="H55" s="177"/>
      <c r="I55" s="178" t="e">
        <f>TRUNC(SUM(I53:J54),2)</f>
        <v>#DIV/0!</v>
      </c>
      <c r="J55" s="178"/>
      <c r="K55" s="1"/>
    </row>
    <row r="56" spans="1:11">
      <c r="A56" s="1"/>
      <c r="B56" s="1"/>
      <c r="C56" s="1"/>
      <c r="D56" s="1"/>
      <c r="E56" s="1"/>
      <c r="F56" s="1"/>
      <c r="G56" s="1"/>
      <c r="H56" s="1"/>
      <c r="I56" s="1"/>
      <c r="J56" s="1"/>
      <c r="K56" s="1"/>
    </row>
    <row r="57" spans="1:11" ht="15.75">
      <c r="A57" s="179" t="s">
        <v>422</v>
      </c>
      <c r="B57" s="179"/>
      <c r="C57" s="179"/>
      <c r="D57" s="179"/>
      <c r="E57" s="179"/>
      <c r="F57" s="179"/>
      <c r="G57" s="179"/>
      <c r="H57" s="179"/>
      <c r="I57" s="179"/>
      <c r="J57" s="179"/>
      <c r="K57" s="1"/>
    </row>
    <row r="58" spans="1:11">
      <c r="A58" s="183" t="s">
        <v>396</v>
      </c>
      <c r="B58" s="183"/>
      <c r="C58" s="183"/>
      <c r="D58" s="183"/>
      <c r="E58" s="180" t="s">
        <v>397</v>
      </c>
      <c r="F58" s="180"/>
      <c r="G58" s="180" t="s">
        <v>398</v>
      </c>
      <c r="H58" s="180"/>
      <c r="I58" s="180" t="s">
        <v>399</v>
      </c>
      <c r="J58" s="180"/>
      <c r="K58" s="1"/>
    </row>
    <row r="59" spans="1:11">
      <c r="A59" s="183"/>
      <c r="B59" s="183"/>
      <c r="C59" s="183"/>
      <c r="D59" s="183"/>
      <c r="E59" s="181" t="s">
        <v>404</v>
      </c>
      <c r="F59" s="181"/>
      <c r="G59" s="181" t="s">
        <v>405</v>
      </c>
      <c r="H59" s="181"/>
      <c r="I59" s="181" t="s">
        <v>403</v>
      </c>
      <c r="J59" s="181"/>
      <c r="K59" s="1"/>
    </row>
    <row r="60" spans="1:11">
      <c r="A60" s="183"/>
      <c r="B60" s="183"/>
      <c r="C60" s="183"/>
      <c r="D60" s="183"/>
      <c r="E60" s="182" t="s">
        <v>409</v>
      </c>
      <c r="F60" s="182"/>
      <c r="G60" s="182" t="s">
        <v>408</v>
      </c>
      <c r="H60" s="182"/>
      <c r="I60" s="182" t="s">
        <v>406</v>
      </c>
      <c r="J60" s="182"/>
      <c r="K60" s="1"/>
    </row>
    <row r="61" spans="1:11">
      <c r="A61" s="174" t="s">
        <v>410</v>
      </c>
      <c r="B61" s="174"/>
      <c r="C61" s="174"/>
      <c r="D61" s="174"/>
      <c r="E61" s="175" t="s">
        <v>411</v>
      </c>
      <c r="F61" s="175"/>
      <c r="G61" s="176">
        <f>'Encarregado (Líder)'!$D$130</f>
        <v>0</v>
      </c>
      <c r="H61" s="176"/>
      <c r="I61" s="176" t="e">
        <f>TRUNC(1/(15*'Tipos de Área e Produtivida'!N11)*G61,2)</f>
        <v>#DIV/0!</v>
      </c>
      <c r="J61" s="176"/>
      <c r="K61" s="1"/>
    </row>
    <row r="62" spans="1:11">
      <c r="A62" s="174" t="s">
        <v>412</v>
      </c>
      <c r="B62" s="174"/>
      <c r="C62" s="174"/>
      <c r="D62" s="174"/>
      <c r="E62" s="175" t="s">
        <v>413</v>
      </c>
      <c r="F62" s="175"/>
      <c r="G62" s="176">
        <f>'ASG sem Insalubridade'!$D$129</f>
        <v>0</v>
      </c>
      <c r="H62" s="176"/>
      <c r="I62" s="176" t="e">
        <f>TRUNC((1/'Tipos de Área e Produtivida'!N11)*G62,2)</f>
        <v>#DIV/0!</v>
      </c>
      <c r="J62" s="176"/>
      <c r="K62" s="1"/>
    </row>
    <row r="63" spans="1:11">
      <c r="A63" s="177" t="s">
        <v>179</v>
      </c>
      <c r="B63" s="177"/>
      <c r="C63" s="177"/>
      <c r="D63" s="177"/>
      <c r="E63" s="177"/>
      <c r="F63" s="177"/>
      <c r="G63" s="177"/>
      <c r="H63" s="177"/>
      <c r="I63" s="178" t="e">
        <f>TRUNC(SUM(I61:J62),2)</f>
        <v>#DIV/0!</v>
      </c>
      <c r="J63" s="178"/>
      <c r="K63" s="1"/>
    </row>
    <row r="64" spans="1:11">
      <c r="A64" s="1"/>
      <c r="B64" s="1"/>
      <c r="C64" s="1"/>
      <c r="D64" s="1"/>
      <c r="E64" s="1"/>
      <c r="F64" s="1"/>
      <c r="G64" s="1"/>
      <c r="H64" s="1"/>
      <c r="I64" s="1"/>
      <c r="J64" s="1"/>
      <c r="K64" s="1"/>
    </row>
    <row r="65" spans="1:11" ht="15.75">
      <c r="A65" s="179" t="s">
        <v>423</v>
      </c>
      <c r="B65" s="179"/>
      <c r="C65" s="179"/>
      <c r="D65" s="179"/>
      <c r="E65" s="179"/>
      <c r="F65" s="179"/>
      <c r="G65" s="179"/>
      <c r="H65" s="179"/>
      <c r="I65" s="179"/>
      <c r="J65" s="179"/>
      <c r="K65" s="1"/>
    </row>
    <row r="66" spans="1:11">
      <c r="A66" s="183" t="s">
        <v>396</v>
      </c>
      <c r="B66" s="183"/>
      <c r="C66" s="183"/>
      <c r="D66" s="183"/>
      <c r="E66" s="180" t="s">
        <v>397</v>
      </c>
      <c r="F66" s="180"/>
      <c r="G66" s="180" t="s">
        <v>398</v>
      </c>
      <c r="H66" s="180"/>
      <c r="I66" s="180" t="s">
        <v>399</v>
      </c>
      <c r="J66" s="180"/>
      <c r="K66" s="1"/>
    </row>
    <row r="67" spans="1:11">
      <c r="A67" s="183"/>
      <c r="B67" s="183"/>
      <c r="C67" s="183"/>
      <c r="D67" s="183"/>
      <c r="E67" s="181" t="s">
        <v>404</v>
      </c>
      <c r="F67" s="181"/>
      <c r="G67" s="181" t="s">
        <v>405</v>
      </c>
      <c r="H67" s="181"/>
      <c r="I67" s="181" t="s">
        <v>403</v>
      </c>
      <c r="J67" s="181"/>
      <c r="K67" s="1"/>
    </row>
    <row r="68" spans="1:11">
      <c r="A68" s="183"/>
      <c r="B68" s="183"/>
      <c r="C68" s="183"/>
      <c r="D68" s="183"/>
      <c r="E68" s="182" t="s">
        <v>409</v>
      </c>
      <c r="F68" s="182"/>
      <c r="G68" s="182" t="s">
        <v>408</v>
      </c>
      <c r="H68" s="182"/>
      <c r="I68" s="182" t="s">
        <v>406</v>
      </c>
      <c r="J68" s="182"/>
      <c r="K68" s="1"/>
    </row>
    <row r="69" spans="1:11">
      <c r="A69" s="174" t="s">
        <v>410</v>
      </c>
      <c r="B69" s="174"/>
      <c r="C69" s="174"/>
      <c r="D69" s="174"/>
      <c r="E69" s="175" t="s">
        <v>411</v>
      </c>
      <c r="F69" s="175"/>
      <c r="G69" s="176">
        <f>'Encarregado (Líder)'!$D$130</f>
        <v>0</v>
      </c>
      <c r="H69" s="176"/>
      <c r="I69" s="176" t="e">
        <f>TRUNC(1/(15*'Tipos de Área e Produtivida'!N13)*G69,2)</f>
        <v>#DIV/0!</v>
      </c>
      <c r="J69" s="176"/>
      <c r="K69" s="1"/>
    </row>
    <row r="70" spans="1:11">
      <c r="A70" s="174" t="s">
        <v>412</v>
      </c>
      <c r="B70" s="174"/>
      <c r="C70" s="174"/>
      <c r="D70" s="174"/>
      <c r="E70" s="175" t="s">
        <v>413</v>
      </c>
      <c r="F70" s="175"/>
      <c r="G70" s="176">
        <f>'ASG sem Insalubridade'!$D$129</f>
        <v>0</v>
      </c>
      <c r="H70" s="176"/>
      <c r="I70" s="176" t="e">
        <f>TRUNC((1/'Tipos de Área e Produtivida'!N13)*G70,2)</f>
        <v>#DIV/0!</v>
      </c>
      <c r="J70" s="176"/>
      <c r="K70" s="1"/>
    </row>
    <row r="71" spans="1:11">
      <c r="A71" s="177" t="s">
        <v>179</v>
      </c>
      <c r="B71" s="177"/>
      <c r="C71" s="177"/>
      <c r="D71" s="177"/>
      <c r="E71" s="177"/>
      <c r="F71" s="177"/>
      <c r="G71" s="177"/>
      <c r="H71" s="177"/>
      <c r="I71" s="178" t="e">
        <f>TRUNC(SUM(I69:J70),2)</f>
        <v>#DIV/0!</v>
      </c>
      <c r="J71" s="178"/>
      <c r="K71" s="1"/>
    </row>
    <row r="72" spans="1:11">
      <c r="A72" s="1"/>
      <c r="B72" s="1"/>
      <c r="C72" s="1"/>
      <c r="D72" s="1"/>
      <c r="E72" s="1"/>
      <c r="F72" s="1"/>
      <c r="G72" s="1"/>
      <c r="H72" s="1"/>
      <c r="I72" s="1"/>
      <c r="J72" s="1"/>
      <c r="K72" s="1"/>
    </row>
    <row r="73" spans="1:11" ht="15.75">
      <c r="A73" s="179" t="s">
        <v>424</v>
      </c>
      <c r="B73" s="179"/>
      <c r="C73" s="179"/>
      <c r="D73" s="179"/>
      <c r="E73" s="179"/>
      <c r="F73" s="179"/>
      <c r="G73" s="179"/>
      <c r="H73" s="179"/>
      <c r="I73" s="179"/>
      <c r="J73" s="179"/>
      <c r="K73" s="1"/>
    </row>
    <row r="74" spans="1:11">
      <c r="A74" s="183" t="s">
        <v>396</v>
      </c>
      <c r="B74" s="183"/>
      <c r="C74" s="183"/>
      <c r="D74" s="183"/>
      <c r="E74" s="180" t="s">
        <v>397</v>
      </c>
      <c r="F74" s="180"/>
      <c r="G74" s="180" t="s">
        <v>398</v>
      </c>
      <c r="H74" s="180"/>
      <c r="I74" s="180" t="s">
        <v>399</v>
      </c>
      <c r="J74" s="180"/>
      <c r="K74" s="1"/>
    </row>
    <row r="75" spans="1:11">
      <c r="A75" s="183"/>
      <c r="B75" s="183"/>
      <c r="C75" s="183"/>
      <c r="D75" s="183"/>
      <c r="E75" s="181" t="s">
        <v>404</v>
      </c>
      <c r="F75" s="181"/>
      <c r="G75" s="181" t="s">
        <v>405</v>
      </c>
      <c r="H75" s="181"/>
      <c r="I75" s="181" t="s">
        <v>403</v>
      </c>
      <c r="J75" s="181"/>
      <c r="K75" s="1"/>
    </row>
    <row r="76" spans="1:11">
      <c r="A76" s="183"/>
      <c r="B76" s="183"/>
      <c r="C76" s="183"/>
      <c r="D76" s="183"/>
      <c r="E76" s="182" t="s">
        <v>409</v>
      </c>
      <c r="F76" s="182"/>
      <c r="G76" s="182" t="s">
        <v>408</v>
      </c>
      <c r="H76" s="182"/>
      <c r="I76" s="182" t="s">
        <v>406</v>
      </c>
      <c r="J76" s="182"/>
      <c r="K76" s="1"/>
    </row>
    <row r="77" spans="1:11">
      <c r="A77" s="174" t="s">
        <v>410</v>
      </c>
      <c r="B77" s="174"/>
      <c r="C77" s="174"/>
      <c r="D77" s="174"/>
      <c r="E77" s="175" t="s">
        <v>411</v>
      </c>
      <c r="F77" s="175"/>
      <c r="G77" s="176">
        <f>'Encarregado (Líder)'!$D$130</f>
        <v>0</v>
      </c>
      <c r="H77" s="176"/>
      <c r="I77" s="176" t="e">
        <f>TRUNC(1/(15*'Tipos de Área e Produtivida'!#REF!)*G77,2)</f>
        <v>#REF!</v>
      </c>
      <c r="J77" s="176"/>
      <c r="K77" s="1"/>
    </row>
    <row r="78" spans="1:11">
      <c r="A78" s="174" t="s">
        <v>412</v>
      </c>
      <c r="B78" s="174"/>
      <c r="C78" s="174"/>
      <c r="D78" s="174"/>
      <c r="E78" s="175" t="s">
        <v>413</v>
      </c>
      <c r="F78" s="175"/>
      <c r="G78" s="176" t="e">
        <f>#REF!</f>
        <v>#REF!</v>
      </c>
      <c r="H78" s="176"/>
      <c r="I78" s="176" t="e">
        <f>TRUNC((1/'Tipos de Área e Produtivida'!#REF!)*G78,2)</f>
        <v>#REF!</v>
      </c>
      <c r="J78" s="176"/>
      <c r="K78" s="1"/>
    </row>
    <row r="79" spans="1:11">
      <c r="A79" s="177" t="s">
        <v>179</v>
      </c>
      <c r="B79" s="177"/>
      <c r="C79" s="177"/>
      <c r="D79" s="177"/>
      <c r="E79" s="177"/>
      <c r="F79" s="177"/>
      <c r="G79" s="177"/>
      <c r="H79" s="177"/>
      <c r="I79" s="178" t="e">
        <f>TRUNC(SUM(I77:J78),2)</f>
        <v>#REF!</v>
      </c>
      <c r="J79" s="178"/>
      <c r="K79" s="1"/>
    </row>
  </sheetData>
  <mergeCells count="268">
    <mergeCell ref="A1:J1"/>
    <mergeCell ref="E2:F2"/>
    <mergeCell ref="G2:H2"/>
    <mergeCell ref="I2:J2"/>
    <mergeCell ref="U2:W2"/>
    <mergeCell ref="X2:Y2"/>
    <mergeCell ref="Z2:AB2"/>
    <mergeCell ref="E3:F3"/>
    <mergeCell ref="G3:H3"/>
    <mergeCell ref="I3:J3"/>
    <mergeCell ref="U3:W3"/>
    <mergeCell ref="X3:Y3"/>
    <mergeCell ref="Z3:AB3"/>
    <mergeCell ref="E4:F4"/>
    <mergeCell ref="G4:H4"/>
    <mergeCell ref="I4:J4"/>
    <mergeCell ref="M4:T4"/>
    <mergeCell ref="U4:W4"/>
    <mergeCell ref="X4:Y4"/>
    <mergeCell ref="Z4:AB4"/>
    <mergeCell ref="A5:D5"/>
    <mergeCell ref="E5:F5"/>
    <mergeCell ref="G5:H5"/>
    <mergeCell ref="I5:J5"/>
    <mergeCell ref="M5:T5"/>
    <mergeCell ref="U5:W5"/>
    <mergeCell ref="X5:Y5"/>
    <mergeCell ref="Z5:AB5"/>
    <mergeCell ref="A2:D4"/>
    <mergeCell ref="M2:T3"/>
    <mergeCell ref="A6:D6"/>
    <mergeCell ref="E6:F6"/>
    <mergeCell ref="G6:H6"/>
    <mergeCell ref="I6:J6"/>
    <mergeCell ref="M6:T6"/>
    <mergeCell ref="U6:W6"/>
    <mergeCell ref="X6:Y6"/>
    <mergeCell ref="Z6:AB6"/>
    <mergeCell ref="A7:H7"/>
    <mergeCell ref="I7:J7"/>
    <mergeCell ref="M7:T7"/>
    <mergeCell ref="U7:W7"/>
    <mergeCell ref="X7:Y7"/>
    <mergeCell ref="Z7:AB7"/>
    <mergeCell ref="A8:J8"/>
    <mergeCell ref="M8:T8"/>
    <mergeCell ref="U8:W8"/>
    <mergeCell ref="X8:Y8"/>
    <mergeCell ref="Z8:AB8"/>
    <mergeCell ref="A9:J9"/>
    <mergeCell ref="M9:T9"/>
    <mergeCell ref="U9:W9"/>
    <mergeCell ref="X9:Y9"/>
    <mergeCell ref="Z9:AB9"/>
    <mergeCell ref="E12:F12"/>
    <mergeCell ref="G12:H12"/>
    <mergeCell ref="I12:J12"/>
    <mergeCell ref="M12:T12"/>
    <mergeCell ref="U12:W12"/>
    <mergeCell ref="X12:Y12"/>
    <mergeCell ref="Z12:AB12"/>
    <mergeCell ref="A10:D12"/>
    <mergeCell ref="E10:F10"/>
    <mergeCell ref="G10:H10"/>
    <mergeCell ref="I10:J10"/>
    <mergeCell ref="M10:T10"/>
    <mergeCell ref="U10:W10"/>
    <mergeCell ref="X10:Y10"/>
    <mergeCell ref="Z10:AB10"/>
    <mergeCell ref="E11:F11"/>
    <mergeCell ref="G11:H11"/>
    <mergeCell ref="I11:J11"/>
    <mergeCell ref="M11:T11"/>
    <mergeCell ref="U11:W11"/>
    <mergeCell ref="X11:Y11"/>
    <mergeCell ref="Z11:AB11"/>
    <mergeCell ref="A14:D14"/>
    <mergeCell ref="E14:F14"/>
    <mergeCell ref="G14:H14"/>
    <mergeCell ref="I14:J14"/>
    <mergeCell ref="M14:T14"/>
    <mergeCell ref="U14:W14"/>
    <mergeCell ref="X14:Y14"/>
    <mergeCell ref="Z14:AB14"/>
    <mergeCell ref="A15:H15"/>
    <mergeCell ref="I15:J15"/>
    <mergeCell ref="M15:T15"/>
    <mergeCell ref="U15:W15"/>
    <mergeCell ref="X15:Y15"/>
    <mergeCell ref="Z15:AB15"/>
    <mergeCell ref="A16:J16"/>
    <mergeCell ref="A17:J17"/>
    <mergeCell ref="E18:F18"/>
    <mergeCell ref="G18:H18"/>
    <mergeCell ref="I18:J18"/>
    <mergeCell ref="E19:F19"/>
    <mergeCell ref="G19:H19"/>
    <mergeCell ref="I19:J19"/>
    <mergeCell ref="E20:F20"/>
    <mergeCell ref="G20:H20"/>
    <mergeCell ref="I20:J20"/>
    <mergeCell ref="A18:D20"/>
    <mergeCell ref="A21:D21"/>
    <mergeCell ref="E21:F21"/>
    <mergeCell ref="G21:H21"/>
    <mergeCell ref="I21:J21"/>
    <mergeCell ref="A22:D22"/>
    <mergeCell ref="E22:F22"/>
    <mergeCell ref="G22:H22"/>
    <mergeCell ref="I22:J22"/>
    <mergeCell ref="A23:H23"/>
    <mergeCell ref="I23:J23"/>
    <mergeCell ref="A24:J24"/>
    <mergeCell ref="A25:J25"/>
    <mergeCell ref="E26:F26"/>
    <mergeCell ref="G26:H26"/>
    <mergeCell ref="I26:J26"/>
    <mergeCell ref="E27:F27"/>
    <mergeCell ref="G27:H27"/>
    <mergeCell ref="I27:J27"/>
    <mergeCell ref="E28:F28"/>
    <mergeCell ref="G28:H28"/>
    <mergeCell ref="I28:J28"/>
    <mergeCell ref="A26:D28"/>
    <mergeCell ref="A29:D29"/>
    <mergeCell ref="E29:F29"/>
    <mergeCell ref="G29:H29"/>
    <mergeCell ref="I29:J29"/>
    <mergeCell ref="A30:D30"/>
    <mergeCell ref="E30:F30"/>
    <mergeCell ref="G30:H30"/>
    <mergeCell ref="I30:J30"/>
    <mergeCell ref="A31:H31"/>
    <mergeCell ref="I31:J31"/>
    <mergeCell ref="A33:J33"/>
    <mergeCell ref="E34:F34"/>
    <mergeCell ref="G34:H34"/>
    <mergeCell ref="I34:J34"/>
    <mergeCell ref="E35:F35"/>
    <mergeCell ref="G35:H35"/>
    <mergeCell ref="I35:J35"/>
    <mergeCell ref="E36:F36"/>
    <mergeCell ref="G36:H36"/>
    <mergeCell ref="I36:J36"/>
    <mergeCell ref="A34:D36"/>
    <mergeCell ref="A37:D37"/>
    <mergeCell ref="E37:F37"/>
    <mergeCell ref="G37:H37"/>
    <mergeCell ref="I37:J37"/>
    <mergeCell ref="A38:D38"/>
    <mergeCell ref="E38:F38"/>
    <mergeCell ref="G38:H38"/>
    <mergeCell ref="I38:J38"/>
    <mergeCell ref="A39:H39"/>
    <mergeCell ref="I39:J39"/>
    <mergeCell ref="A41:J41"/>
    <mergeCell ref="E42:F42"/>
    <mergeCell ref="G42:H42"/>
    <mergeCell ref="I42:J42"/>
    <mergeCell ref="E43:F43"/>
    <mergeCell ref="G43:H43"/>
    <mergeCell ref="I43:J43"/>
    <mergeCell ref="E44:F44"/>
    <mergeCell ref="G44:H44"/>
    <mergeCell ref="I44:J44"/>
    <mergeCell ref="A42:D44"/>
    <mergeCell ref="A45:D45"/>
    <mergeCell ref="E45:F45"/>
    <mergeCell ref="G45:H45"/>
    <mergeCell ref="I45:J45"/>
    <mergeCell ref="A46:D46"/>
    <mergeCell ref="E46:F46"/>
    <mergeCell ref="G46:H46"/>
    <mergeCell ref="I46:J46"/>
    <mergeCell ref="A47:H47"/>
    <mergeCell ref="I47:J47"/>
    <mergeCell ref="A49:J49"/>
    <mergeCell ref="E50:F50"/>
    <mergeCell ref="G50:H50"/>
    <mergeCell ref="I50:J50"/>
    <mergeCell ref="E51:F51"/>
    <mergeCell ref="G51:H51"/>
    <mergeCell ref="I51:J51"/>
    <mergeCell ref="E52:F52"/>
    <mergeCell ref="G52:H52"/>
    <mergeCell ref="I52:J52"/>
    <mergeCell ref="A50:D52"/>
    <mergeCell ref="A53:D53"/>
    <mergeCell ref="E53:F53"/>
    <mergeCell ref="G53:H53"/>
    <mergeCell ref="I53:J53"/>
    <mergeCell ref="A54:D54"/>
    <mergeCell ref="E54:F54"/>
    <mergeCell ref="G54:H54"/>
    <mergeCell ref="I54:J54"/>
    <mergeCell ref="A55:H55"/>
    <mergeCell ref="I55:J55"/>
    <mergeCell ref="A57:J57"/>
    <mergeCell ref="E58:F58"/>
    <mergeCell ref="G58:H58"/>
    <mergeCell ref="I58:J58"/>
    <mergeCell ref="E59:F59"/>
    <mergeCell ref="G59:H59"/>
    <mergeCell ref="I59:J59"/>
    <mergeCell ref="E60:F60"/>
    <mergeCell ref="G60:H60"/>
    <mergeCell ref="I60:J60"/>
    <mergeCell ref="A58:D60"/>
    <mergeCell ref="A61:D61"/>
    <mergeCell ref="E61:F61"/>
    <mergeCell ref="G61:H61"/>
    <mergeCell ref="I61:J61"/>
    <mergeCell ref="A62:D62"/>
    <mergeCell ref="E62:F62"/>
    <mergeCell ref="G62:H62"/>
    <mergeCell ref="I62:J62"/>
    <mergeCell ref="A63:H63"/>
    <mergeCell ref="I63:J63"/>
    <mergeCell ref="G66:H66"/>
    <mergeCell ref="I66:J66"/>
    <mergeCell ref="E67:F67"/>
    <mergeCell ref="G67:H67"/>
    <mergeCell ref="I67:J67"/>
    <mergeCell ref="E68:F68"/>
    <mergeCell ref="G68:H68"/>
    <mergeCell ref="I68:J68"/>
    <mergeCell ref="A66:D68"/>
    <mergeCell ref="A78:D78"/>
    <mergeCell ref="E78:F78"/>
    <mergeCell ref="G78:H78"/>
    <mergeCell ref="I78:J78"/>
    <mergeCell ref="A79:H79"/>
    <mergeCell ref="I79:J79"/>
    <mergeCell ref="A73:J73"/>
    <mergeCell ref="E74:F74"/>
    <mergeCell ref="G74:H74"/>
    <mergeCell ref="I74:J74"/>
    <mergeCell ref="E75:F75"/>
    <mergeCell ref="G75:H75"/>
    <mergeCell ref="I75:J75"/>
    <mergeCell ref="E76:F76"/>
    <mergeCell ref="G76:H76"/>
    <mergeCell ref="I76:J76"/>
    <mergeCell ref="A74:D76"/>
    <mergeCell ref="Z13:AB13"/>
    <mergeCell ref="X13:Y13"/>
    <mergeCell ref="U13:W13"/>
    <mergeCell ref="M13:T13"/>
    <mergeCell ref="I13:J13"/>
    <mergeCell ref="G13:H13"/>
    <mergeCell ref="E13:F13"/>
    <mergeCell ref="A13:D13"/>
    <mergeCell ref="A77:D77"/>
    <mergeCell ref="E77:F77"/>
    <mergeCell ref="G77:H77"/>
    <mergeCell ref="I77:J77"/>
    <mergeCell ref="A69:D69"/>
    <mergeCell ref="E69:F69"/>
    <mergeCell ref="G69:H69"/>
    <mergeCell ref="I69:J69"/>
    <mergeCell ref="A70:D70"/>
    <mergeCell ref="E70:F70"/>
    <mergeCell ref="G70:H70"/>
    <mergeCell ref="I70:J70"/>
    <mergeCell ref="A71:H71"/>
    <mergeCell ref="I71:J71"/>
    <mergeCell ref="A65:J65"/>
    <mergeCell ref="E66:F6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0"/>
  <sheetViews>
    <sheetView tabSelected="1" topLeftCell="B136" workbookViewId="0">
      <selection activeCell="C60" sqref="C60:C65"/>
    </sheetView>
  </sheetViews>
  <sheetFormatPr defaultColWidth="9.140625" defaultRowHeight="15"/>
  <cols>
    <col min="1" max="1" width="16.7109375" customWidth="1"/>
    <col min="2" max="2" width="55" customWidth="1"/>
    <col min="3" max="3" width="31" customWidth="1"/>
    <col min="4" max="4" width="24.85546875" customWidth="1"/>
    <col min="6" max="6" width="35.42578125" customWidth="1"/>
    <col min="7" max="7" width="11.28515625" customWidth="1"/>
  </cols>
  <sheetData>
    <row r="1" spans="1:7">
      <c r="A1" s="145" t="s">
        <v>0</v>
      </c>
      <c r="B1" s="145"/>
      <c r="C1" s="145"/>
      <c r="D1" s="145"/>
      <c r="F1" s="144" t="s">
        <v>1</v>
      </c>
      <c r="G1" s="144"/>
    </row>
    <row r="2" spans="1:7">
      <c r="A2" s="24" t="s">
        <v>2</v>
      </c>
      <c r="B2" t="s">
        <v>3</v>
      </c>
      <c r="C2" s="24" t="s">
        <v>4</v>
      </c>
      <c r="D2" s="24" t="s">
        <v>5</v>
      </c>
      <c r="F2" t="s">
        <v>3</v>
      </c>
      <c r="G2" t="s">
        <v>5</v>
      </c>
    </row>
    <row r="3" spans="1:7">
      <c r="A3" s="24">
        <v>1</v>
      </c>
      <c r="B3" t="s">
        <v>6</v>
      </c>
      <c r="C3" s="24"/>
      <c r="D3" s="24" t="s">
        <v>7</v>
      </c>
      <c r="F3" t="s">
        <v>8</v>
      </c>
      <c r="G3" s="127"/>
    </row>
    <row r="4" spans="1:7">
      <c r="A4" s="24">
        <v>2</v>
      </c>
      <c r="B4" t="s">
        <v>9</v>
      </c>
      <c r="C4" s="24"/>
      <c r="D4" s="24" t="s">
        <v>95</v>
      </c>
      <c r="F4" t="s">
        <v>11</v>
      </c>
      <c r="G4" s="127"/>
    </row>
    <row r="5" spans="1:7">
      <c r="A5" s="24">
        <v>3</v>
      </c>
      <c r="B5" t="s">
        <v>12</v>
      </c>
      <c r="C5" s="24" t="s">
        <v>173</v>
      </c>
      <c r="D5" s="99"/>
      <c r="F5" t="s">
        <v>14</v>
      </c>
      <c r="G5" s="94"/>
    </row>
    <row r="6" spans="1:7">
      <c r="A6" s="24">
        <v>4</v>
      </c>
      <c r="B6" t="s">
        <v>15</v>
      </c>
      <c r="C6" s="24" t="s">
        <v>174</v>
      </c>
      <c r="D6" s="24" t="s">
        <v>175</v>
      </c>
      <c r="F6" t="s">
        <v>18</v>
      </c>
      <c r="G6" s="129"/>
    </row>
    <row r="7" spans="1:7">
      <c r="A7" s="24">
        <v>5</v>
      </c>
      <c r="B7" t="s">
        <v>19</v>
      </c>
      <c r="C7" s="24"/>
      <c r="D7" s="24" t="s">
        <v>20</v>
      </c>
    </row>
    <row r="8" spans="1:7">
      <c r="F8" s="101"/>
      <c r="G8" s="102"/>
    </row>
    <row r="9" spans="1:7">
      <c r="A9" s="140" t="s">
        <v>22</v>
      </c>
      <c r="B9" s="140"/>
      <c r="C9" s="140"/>
      <c r="D9" s="140"/>
      <c r="F9" s="101"/>
      <c r="G9" s="102"/>
    </row>
    <row r="10" spans="1:7">
      <c r="A10" s="24" t="s">
        <v>25</v>
      </c>
      <c r="B10" t="s">
        <v>26</v>
      </c>
      <c r="C10" s="24" t="s">
        <v>4</v>
      </c>
      <c r="D10" s="24" t="s">
        <v>5</v>
      </c>
      <c r="F10" s="101"/>
      <c r="G10" s="102"/>
    </row>
    <row r="11" spans="1:7">
      <c r="A11" s="24" t="s">
        <v>28</v>
      </c>
      <c r="B11" t="s">
        <v>29</v>
      </c>
      <c r="C11" s="24"/>
      <c r="D11" s="84"/>
      <c r="F11" s="101"/>
      <c r="G11" s="102"/>
    </row>
    <row r="12" spans="1:7">
      <c r="A12" s="24" t="s">
        <v>31</v>
      </c>
      <c r="B12" t="s">
        <v>32</v>
      </c>
      <c r="C12" s="24"/>
      <c r="D12" s="84"/>
      <c r="F12" s="101"/>
      <c r="G12" s="102"/>
    </row>
    <row r="13" spans="1:7">
      <c r="A13" s="24" t="s">
        <v>34</v>
      </c>
      <c r="B13" t="s">
        <v>35</v>
      </c>
      <c r="C13" s="24"/>
      <c r="D13" s="84"/>
      <c r="F13" s="101"/>
      <c r="G13" s="102"/>
    </row>
    <row r="14" spans="1:7">
      <c r="A14" s="24" t="s">
        <v>36</v>
      </c>
      <c r="B14" t="s">
        <v>37</v>
      </c>
      <c r="C14" s="24"/>
      <c r="D14" s="84"/>
      <c r="F14" s="101"/>
      <c r="G14" s="102"/>
    </row>
    <row r="15" spans="1:7">
      <c r="A15" s="24" t="s">
        <v>39</v>
      </c>
      <c r="B15" t="s">
        <v>40</v>
      </c>
      <c r="C15" s="24"/>
      <c r="D15" s="84"/>
      <c r="F15" s="101"/>
      <c r="G15" s="102"/>
    </row>
    <row r="16" spans="1:7">
      <c r="A16" s="24" t="s">
        <v>41</v>
      </c>
      <c r="B16" t="s">
        <v>42</v>
      </c>
      <c r="C16" s="24"/>
      <c r="D16" s="84"/>
      <c r="F16" s="101"/>
      <c r="G16" s="102"/>
    </row>
    <row r="17" spans="1:7">
      <c r="A17" s="24" t="s">
        <v>44</v>
      </c>
      <c r="C17" s="24"/>
      <c r="D17" s="84">
        <f>TRUNC(SUM(D11:D16),2)</f>
        <v>0</v>
      </c>
      <c r="F17" s="101"/>
      <c r="G17" s="102"/>
    </row>
    <row r="18" spans="1:7">
      <c r="F18" s="101"/>
      <c r="G18" s="102"/>
    </row>
    <row r="19" spans="1:7">
      <c r="A19" s="143" t="s">
        <v>47</v>
      </c>
      <c r="B19" s="143"/>
      <c r="C19" s="143"/>
      <c r="D19" s="143"/>
      <c r="F19" s="101"/>
      <c r="G19" s="102"/>
    </row>
    <row r="20" spans="1:7">
      <c r="A20" s="144" t="s">
        <v>49</v>
      </c>
      <c r="B20" s="144"/>
      <c r="C20" s="144"/>
      <c r="D20" s="144"/>
      <c r="F20" s="101"/>
      <c r="G20" s="102"/>
    </row>
    <row r="21" spans="1:7">
      <c r="A21" s="24" t="s">
        <v>51</v>
      </c>
      <c r="B21" t="s">
        <v>52</v>
      </c>
      <c r="C21" s="24" t="s">
        <v>4</v>
      </c>
      <c r="D21" s="24" t="s">
        <v>5</v>
      </c>
      <c r="F21" s="101"/>
      <c r="G21" s="102"/>
    </row>
    <row r="22" spans="1:7">
      <c r="A22" s="24" t="s">
        <v>28</v>
      </c>
      <c r="B22" t="s">
        <v>53</v>
      </c>
      <c r="C22" s="103">
        <f>(1/12)</f>
        <v>8.3333333333333329E-2</v>
      </c>
      <c r="D22" s="84">
        <f>TRUNC($D$17*C22,2)</f>
        <v>0</v>
      </c>
      <c r="F22" s="101"/>
      <c r="G22" s="102"/>
    </row>
    <row r="23" spans="1:7">
      <c r="A23" s="24" t="s">
        <v>31</v>
      </c>
      <c r="B23" t="s">
        <v>55</v>
      </c>
      <c r="C23" s="103">
        <f>(((1+1/3)/12))</f>
        <v>0.1111111111111111</v>
      </c>
      <c r="D23" s="84">
        <f>TRUNC($D$17*C23,2)</f>
        <v>0</v>
      </c>
      <c r="E23" s="104"/>
      <c r="F23" s="101"/>
      <c r="G23" s="102"/>
    </row>
    <row r="24" spans="1:7">
      <c r="A24" s="24" t="s">
        <v>44</v>
      </c>
      <c r="D24" s="84">
        <f>TRUNC(SUM(D22:D23),2)</f>
        <v>0</v>
      </c>
      <c r="F24" s="101"/>
      <c r="G24" s="102"/>
    </row>
    <row r="25" spans="1:7">
      <c r="A25" s="24"/>
      <c r="D25" s="84"/>
      <c r="F25" s="101"/>
      <c r="G25" s="102"/>
    </row>
    <row r="26" spans="1:7">
      <c r="A26" s="147" t="s">
        <v>176</v>
      </c>
      <c r="B26" s="147"/>
      <c r="C26" s="105" t="s">
        <v>177</v>
      </c>
      <c r="D26" s="106">
        <f>D17</f>
        <v>0</v>
      </c>
      <c r="F26" s="107"/>
      <c r="G26" s="107"/>
    </row>
    <row r="27" spans="1:7">
      <c r="A27" s="147"/>
      <c r="B27" s="147"/>
      <c r="C27" s="108" t="s">
        <v>178</v>
      </c>
      <c r="D27" s="106">
        <f>D24</f>
        <v>0</v>
      </c>
      <c r="F27" s="107"/>
      <c r="G27" s="107"/>
    </row>
    <row r="28" spans="1:7">
      <c r="A28" s="147"/>
      <c r="B28" s="147"/>
      <c r="C28" s="105" t="s">
        <v>179</v>
      </c>
      <c r="D28" s="109">
        <f>TRUNC((SUM(D26:D27)),2)</f>
        <v>0</v>
      </c>
      <c r="F28" s="107"/>
      <c r="G28" s="107"/>
    </row>
    <row r="29" spans="1:7">
      <c r="A29" s="24"/>
      <c r="B29" s="24"/>
      <c r="C29" s="110"/>
      <c r="F29" s="107"/>
      <c r="G29" s="107"/>
    </row>
    <row r="30" spans="1:7">
      <c r="A30" s="144" t="s">
        <v>66</v>
      </c>
      <c r="B30" s="144"/>
      <c r="C30" s="144"/>
      <c r="D30" s="144"/>
    </row>
    <row r="31" spans="1:7">
      <c r="A31" s="24" t="s">
        <v>67</v>
      </c>
      <c r="B31" t="s">
        <v>68</v>
      </c>
      <c r="C31" s="24" t="s">
        <v>24</v>
      </c>
      <c r="D31" s="24" t="s">
        <v>69</v>
      </c>
    </row>
    <row r="32" spans="1:7">
      <c r="A32" s="24" t="s">
        <v>28</v>
      </c>
      <c r="B32" t="s">
        <v>70</v>
      </c>
      <c r="C32" s="111">
        <v>0.2</v>
      </c>
      <c r="D32" s="71">
        <f t="shared" ref="D32:D39" si="0">TRUNC(($D$28*C32),2)</f>
        <v>0</v>
      </c>
    </row>
    <row r="33" spans="1:4">
      <c r="A33" s="24" t="s">
        <v>31</v>
      </c>
      <c r="B33" t="s">
        <v>71</v>
      </c>
      <c r="C33" s="111">
        <v>2.5000000000000001E-2</v>
      </c>
      <c r="D33" s="71">
        <f t="shared" si="0"/>
        <v>0</v>
      </c>
    </row>
    <row r="34" spans="1:4">
      <c r="A34" s="24" t="s">
        <v>34</v>
      </c>
      <c r="B34" t="s">
        <v>72</v>
      </c>
      <c r="C34" s="112">
        <f>G6</f>
        <v>0</v>
      </c>
      <c r="D34" s="71">
        <f t="shared" si="0"/>
        <v>0</v>
      </c>
    </row>
    <row r="35" spans="1:4">
      <c r="A35" s="24" t="s">
        <v>36</v>
      </c>
      <c r="B35" t="s">
        <v>73</v>
      </c>
      <c r="C35" s="111">
        <v>1.4999999999999999E-2</v>
      </c>
      <c r="D35" s="71">
        <f t="shared" si="0"/>
        <v>0</v>
      </c>
    </row>
    <row r="36" spans="1:4">
      <c r="A36" s="24" t="s">
        <v>39</v>
      </c>
      <c r="B36" t="s">
        <v>74</v>
      </c>
      <c r="C36" s="111">
        <v>0.01</v>
      </c>
      <c r="D36" s="71">
        <f t="shared" si="0"/>
        <v>0</v>
      </c>
    </row>
    <row r="37" spans="1:4">
      <c r="A37" s="24" t="s">
        <v>41</v>
      </c>
      <c r="B37" t="s">
        <v>75</v>
      </c>
      <c r="C37" s="111">
        <v>6.0000000000000001E-3</v>
      </c>
      <c r="D37" s="71">
        <f t="shared" si="0"/>
        <v>0</v>
      </c>
    </row>
    <row r="38" spans="1:4">
      <c r="A38" s="24" t="s">
        <v>76</v>
      </c>
      <c r="B38" t="s">
        <v>77</v>
      </c>
      <c r="C38" s="111">
        <v>2E-3</v>
      </c>
      <c r="D38" s="71">
        <f t="shared" si="0"/>
        <v>0</v>
      </c>
    </row>
    <row r="39" spans="1:4">
      <c r="A39" s="24" t="s">
        <v>78</v>
      </c>
      <c r="B39" t="s">
        <v>79</v>
      </c>
      <c r="C39" s="111">
        <v>0.08</v>
      </c>
      <c r="D39" s="71">
        <f t="shared" si="0"/>
        <v>0</v>
      </c>
    </row>
    <row r="40" spans="1:4">
      <c r="A40" s="24" t="s">
        <v>44</v>
      </c>
      <c r="C40" s="114">
        <f>SUBTOTAL(109,Submódulo2.267_75[Percentual])</f>
        <v>0.33800000000000002</v>
      </c>
      <c r="D40" s="71">
        <f>TRUNC(SUM(D32:D39),2)</f>
        <v>0</v>
      </c>
    </row>
    <row r="41" spans="1:4">
      <c r="A41" s="24"/>
      <c r="C41" s="114"/>
      <c r="D41" s="84"/>
    </row>
    <row r="42" spans="1:4">
      <c r="A42" s="144" t="s">
        <v>84</v>
      </c>
      <c r="B42" s="144"/>
      <c r="C42" s="144"/>
      <c r="D42" s="144"/>
    </row>
    <row r="43" spans="1:4">
      <c r="A43" s="24" t="s">
        <v>85</v>
      </c>
      <c r="B43" t="s">
        <v>86</v>
      </c>
      <c r="C43" s="24" t="s">
        <v>4</v>
      </c>
      <c r="D43" s="24" t="s">
        <v>5</v>
      </c>
    </row>
    <row r="44" spans="1:4">
      <c r="A44" s="24" t="s">
        <v>28</v>
      </c>
      <c r="B44" t="s">
        <v>87</v>
      </c>
      <c r="D44" s="113"/>
    </row>
    <row r="45" spans="1:4">
      <c r="A45" s="24" t="s">
        <v>31</v>
      </c>
      <c r="B45" t="s">
        <v>88</v>
      </c>
      <c r="D45" s="113"/>
    </row>
    <row r="46" spans="1:4">
      <c r="A46" s="24" t="s">
        <v>34</v>
      </c>
      <c r="B46" t="s">
        <v>89</v>
      </c>
      <c r="D46" s="113"/>
    </row>
    <row r="47" spans="1:4">
      <c r="A47" s="24" t="s">
        <v>36</v>
      </c>
      <c r="B47" t="s">
        <v>90</v>
      </c>
      <c r="C47" s="115" t="s">
        <v>174</v>
      </c>
      <c r="D47" s="113"/>
    </row>
    <row r="48" spans="1:4">
      <c r="A48" s="24" t="s">
        <v>39</v>
      </c>
      <c r="B48" t="s">
        <v>92</v>
      </c>
      <c r="C48" s="115" t="s">
        <v>174</v>
      </c>
      <c r="D48" s="113"/>
    </row>
    <row r="49" spans="1:4">
      <c r="A49" s="24" t="s">
        <v>44</v>
      </c>
      <c r="D49" s="84">
        <f>TRUNC(SUM(D44:D48),2)</f>
        <v>0</v>
      </c>
    </row>
    <row r="50" spans="1:4">
      <c r="A50" s="24"/>
      <c r="D50" s="84"/>
    </row>
    <row r="51" spans="1:4">
      <c r="A51" s="144" t="s">
        <v>98</v>
      </c>
      <c r="B51" s="144"/>
      <c r="C51" s="144"/>
      <c r="D51" s="144"/>
    </row>
    <row r="52" spans="1:4">
      <c r="A52" s="24" t="s">
        <v>99</v>
      </c>
      <c r="B52" t="s">
        <v>100</v>
      </c>
      <c r="C52" s="24" t="s">
        <v>4</v>
      </c>
      <c r="D52" s="24" t="s">
        <v>5</v>
      </c>
    </row>
    <row r="53" spans="1:4">
      <c r="A53" s="24" t="s">
        <v>51</v>
      </c>
      <c r="B53" t="s">
        <v>52</v>
      </c>
      <c r="C53" s="24"/>
      <c r="D53" s="84">
        <f>D24</f>
        <v>0</v>
      </c>
    </row>
    <row r="54" spans="1:4">
      <c r="A54" s="24" t="s">
        <v>67</v>
      </c>
      <c r="B54" t="s">
        <v>68</v>
      </c>
      <c r="C54" s="24"/>
      <c r="D54" s="84">
        <f>D40</f>
        <v>0</v>
      </c>
    </row>
    <row r="55" spans="1:4">
      <c r="A55" s="24" t="s">
        <v>85</v>
      </c>
      <c r="B55" t="s">
        <v>86</v>
      </c>
      <c r="C55" s="24"/>
      <c r="D55" s="84">
        <f>D49</f>
        <v>0</v>
      </c>
    </row>
    <row r="56" spans="1:4">
      <c r="A56" s="24" t="s">
        <v>44</v>
      </c>
      <c r="C56" s="24"/>
      <c r="D56" s="84">
        <f>TRUNC(SUM(D53:D55),2)</f>
        <v>0</v>
      </c>
    </row>
    <row r="58" spans="1:4">
      <c r="A58" s="140" t="s">
        <v>101</v>
      </c>
      <c r="B58" s="140"/>
      <c r="C58" s="140"/>
      <c r="D58" s="140"/>
    </row>
    <row r="59" spans="1:4">
      <c r="A59" s="24" t="s">
        <v>102</v>
      </c>
      <c r="B59" t="s">
        <v>103</v>
      </c>
      <c r="C59" s="24" t="s">
        <v>4</v>
      </c>
      <c r="D59" s="24" t="s">
        <v>5</v>
      </c>
    </row>
    <row r="60" spans="1:4">
      <c r="A60" s="24" t="s">
        <v>28</v>
      </c>
      <c r="B60" s="23" t="s">
        <v>104</v>
      </c>
      <c r="C60" s="116"/>
      <c r="D60" s="117">
        <f>TRUNC(($D$17*C60),2)</f>
        <v>0</v>
      </c>
    </row>
    <row r="61" spans="1:4">
      <c r="A61" s="24" t="s">
        <v>31</v>
      </c>
      <c r="B61" s="23" t="s">
        <v>105</v>
      </c>
      <c r="C61" s="103"/>
      <c r="D61" s="42">
        <f>TRUNC(D60*C61,2)</f>
        <v>0</v>
      </c>
    </row>
    <row r="62" spans="1:4" ht="30">
      <c r="A62" s="24" t="s">
        <v>34</v>
      </c>
      <c r="B62" s="23" t="s">
        <v>106</v>
      </c>
      <c r="C62" s="116"/>
      <c r="D62" s="117">
        <f>TRUNC(($D$17*C62),2)</f>
        <v>0</v>
      </c>
    </row>
    <row r="63" spans="1:4">
      <c r="A63" s="24" t="s">
        <v>36</v>
      </c>
      <c r="B63" s="23" t="s">
        <v>107</v>
      </c>
      <c r="C63" s="103"/>
      <c r="D63" s="42">
        <f>TRUNC(($D$17*C63),2)</f>
        <v>0</v>
      </c>
    </row>
    <row r="64" spans="1:4" ht="30">
      <c r="A64" s="24" t="s">
        <v>39</v>
      </c>
      <c r="B64" s="23" t="s">
        <v>180</v>
      </c>
      <c r="C64" s="103"/>
      <c r="D64" s="42">
        <f>TRUNC(D63*C64,2)</f>
        <v>0</v>
      </c>
    </row>
    <row r="65" spans="1:5" ht="30">
      <c r="A65" s="24" t="s">
        <v>41</v>
      </c>
      <c r="B65" s="23" t="s">
        <v>108</v>
      </c>
      <c r="C65" s="116"/>
      <c r="D65" s="117">
        <f>TRUNC(($D$17*C65),2)</f>
        <v>0</v>
      </c>
    </row>
    <row r="66" spans="1:5">
      <c r="A66" s="24" t="s">
        <v>44</v>
      </c>
      <c r="D66" s="84">
        <f>TRUNC(SUM(D60:D65),2)</f>
        <v>0</v>
      </c>
    </row>
    <row r="67" spans="1:5">
      <c r="A67" s="24"/>
      <c r="D67" s="84"/>
    </row>
    <row r="68" spans="1:5">
      <c r="A68" s="147" t="s">
        <v>181</v>
      </c>
      <c r="B68" s="147"/>
      <c r="C68" s="105" t="s">
        <v>177</v>
      </c>
      <c r="D68" s="106">
        <f>D17</f>
        <v>0</v>
      </c>
    </row>
    <row r="69" spans="1:5">
      <c r="A69" s="147"/>
      <c r="B69" s="147"/>
      <c r="C69" s="108" t="s">
        <v>182</v>
      </c>
      <c r="D69" s="106">
        <f>D56</f>
        <v>0</v>
      </c>
    </row>
    <row r="70" spans="1:5">
      <c r="A70" s="147"/>
      <c r="B70" s="147"/>
      <c r="C70" s="105" t="s">
        <v>183</v>
      </c>
      <c r="D70" s="106">
        <f>D66</f>
        <v>0</v>
      </c>
    </row>
    <row r="71" spans="1:5">
      <c r="A71" s="147"/>
      <c r="B71" s="147"/>
      <c r="C71" s="108" t="s">
        <v>179</v>
      </c>
      <c r="D71" s="109">
        <f>TRUNC((SUM(D68:D70)),2)</f>
        <v>0</v>
      </c>
    </row>
    <row r="72" spans="1:5">
      <c r="A72" s="24"/>
      <c r="D72" s="84"/>
    </row>
    <row r="73" spans="1:5">
      <c r="A73" s="142" t="s">
        <v>120</v>
      </c>
      <c r="B73" s="143"/>
      <c r="C73" s="143"/>
      <c r="D73" s="143"/>
    </row>
    <row r="74" spans="1:5">
      <c r="A74" s="139" t="s">
        <v>121</v>
      </c>
      <c r="B74" s="139"/>
      <c r="C74" s="139"/>
      <c r="D74" s="139"/>
    </row>
    <row r="75" spans="1:5">
      <c r="A75" s="24" t="s">
        <v>122</v>
      </c>
      <c r="B75" t="s">
        <v>123</v>
      </c>
      <c r="C75" s="24" t="s">
        <v>124</v>
      </c>
      <c r="D75" s="24" t="s">
        <v>5</v>
      </c>
    </row>
    <row r="76" spans="1:5">
      <c r="A76" s="24" t="s">
        <v>28</v>
      </c>
      <c r="B76" t="s">
        <v>125</v>
      </c>
      <c r="C76" s="118"/>
      <c r="D76" s="84">
        <f t="shared" ref="D76:D81" si="1">TRUNC(($D$71*C76),2)</f>
        <v>0</v>
      </c>
      <c r="E76" s="104"/>
    </row>
    <row r="77" spans="1:5">
      <c r="A77" s="24" t="s">
        <v>31</v>
      </c>
      <c r="B77" t="s">
        <v>126</v>
      </c>
      <c r="C77" s="118"/>
      <c r="D77" s="84">
        <f t="shared" si="1"/>
        <v>0</v>
      </c>
      <c r="E77" s="104"/>
    </row>
    <row r="78" spans="1:5">
      <c r="A78" s="24" t="s">
        <v>34</v>
      </c>
      <c r="B78" t="s">
        <v>127</v>
      </c>
      <c r="C78" s="118"/>
      <c r="D78" s="84">
        <f t="shared" si="1"/>
        <v>0</v>
      </c>
      <c r="E78" s="104"/>
    </row>
    <row r="79" spans="1:5">
      <c r="A79" s="24" t="s">
        <v>36</v>
      </c>
      <c r="B79" t="s">
        <v>128</v>
      </c>
      <c r="C79" s="118"/>
      <c r="D79" s="84">
        <f t="shared" si="1"/>
        <v>0</v>
      </c>
      <c r="E79" s="104"/>
    </row>
    <row r="80" spans="1:5">
      <c r="A80" s="24" t="s">
        <v>39</v>
      </c>
      <c r="B80" t="s">
        <v>129</v>
      </c>
      <c r="C80" s="118"/>
      <c r="D80" s="84">
        <f t="shared" si="1"/>
        <v>0</v>
      </c>
      <c r="E80" s="104"/>
    </row>
    <row r="81" spans="1:5">
      <c r="A81" s="24" t="s">
        <v>41</v>
      </c>
      <c r="B81" t="s">
        <v>184</v>
      </c>
      <c r="C81" s="118"/>
      <c r="D81" s="84">
        <f t="shared" si="1"/>
        <v>0</v>
      </c>
      <c r="E81" s="104"/>
    </row>
    <row r="82" spans="1:5">
      <c r="A82" s="24" t="s">
        <v>44</v>
      </c>
      <c r="C82" s="118">
        <f>SUBTOTAL(109,Submódulo4.12511_4[Dias de ausência])</f>
        <v>0</v>
      </c>
      <c r="D82" s="84">
        <f>TRUNC(SUM(D76:D81),2)</f>
        <v>0</v>
      </c>
    </row>
    <row r="83" spans="1:5">
      <c r="A83" s="24"/>
      <c r="C83" s="24"/>
      <c r="D83" s="84"/>
    </row>
    <row r="84" spans="1:5">
      <c r="A84" s="144" t="s">
        <v>140</v>
      </c>
      <c r="B84" s="144"/>
      <c r="C84" s="144"/>
      <c r="D84" s="144"/>
    </row>
    <row r="85" spans="1:5">
      <c r="A85" s="24" t="s">
        <v>141</v>
      </c>
      <c r="B85" t="s">
        <v>142</v>
      </c>
      <c r="C85" s="24" t="s">
        <v>4</v>
      </c>
      <c r="D85" s="24" t="s">
        <v>5</v>
      </c>
    </row>
    <row r="86" spans="1:5">
      <c r="A86" s="24" t="s">
        <v>28</v>
      </c>
      <c r="B86" t="s">
        <v>143</v>
      </c>
      <c r="C86" s="24"/>
      <c r="D86" s="84"/>
    </row>
    <row r="87" spans="1:5">
      <c r="A87" s="24" t="s">
        <v>44</v>
      </c>
      <c r="C87" s="24"/>
      <c r="D87" s="84">
        <f>SUBTOTAL(109,Submódulo4.22612_31[Valor])</f>
        <v>0</v>
      </c>
    </row>
    <row r="89" spans="1:5">
      <c r="A89" s="139" t="s">
        <v>144</v>
      </c>
      <c r="B89" s="139"/>
      <c r="C89" s="139"/>
      <c r="D89" s="139"/>
    </row>
    <row r="90" spans="1:5">
      <c r="A90" s="24" t="s">
        <v>145</v>
      </c>
      <c r="B90" t="s">
        <v>146</v>
      </c>
      <c r="C90" s="24" t="s">
        <v>4</v>
      </c>
      <c r="D90" s="24" t="s">
        <v>5</v>
      </c>
    </row>
    <row r="91" spans="1:5">
      <c r="A91" s="24" t="s">
        <v>122</v>
      </c>
      <c r="B91" t="s">
        <v>123</v>
      </c>
      <c r="D91" s="84">
        <f>D82</f>
        <v>0</v>
      </c>
    </row>
    <row r="92" spans="1:5">
      <c r="A92" s="24" t="s">
        <v>141</v>
      </c>
      <c r="B92" t="s">
        <v>147</v>
      </c>
      <c r="D92" s="84">
        <f>Submódulo4.22612_31[[#Totals],[Valor]]</f>
        <v>0</v>
      </c>
    </row>
    <row r="93" spans="1:5">
      <c r="A93" s="24" t="s">
        <v>44</v>
      </c>
      <c r="D93" s="84">
        <f>TRUNC(SUM(D91:D92),2)</f>
        <v>0</v>
      </c>
    </row>
    <row r="95" spans="1:5">
      <c r="A95" s="140" t="s">
        <v>148</v>
      </c>
      <c r="B95" s="140"/>
      <c r="C95" s="140"/>
      <c r="D95" s="140"/>
    </row>
    <row r="96" spans="1:5">
      <c r="A96" s="24" t="s">
        <v>149</v>
      </c>
      <c r="B96" t="s">
        <v>150</v>
      </c>
      <c r="C96" s="24" t="s">
        <v>4</v>
      </c>
      <c r="D96" s="24" t="s">
        <v>5</v>
      </c>
    </row>
    <row r="97" spans="1:7">
      <c r="A97" s="24" t="s">
        <v>28</v>
      </c>
      <c r="B97" t="s">
        <v>151</v>
      </c>
      <c r="D97" s="84"/>
    </row>
    <row r="98" spans="1:7">
      <c r="A98" s="24" t="s">
        <v>31</v>
      </c>
      <c r="B98" t="s">
        <v>152</v>
      </c>
      <c r="D98" s="84"/>
    </row>
    <row r="99" spans="1:7">
      <c r="A99" s="24" t="s">
        <v>34</v>
      </c>
      <c r="B99" t="s">
        <v>153</v>
      </c>
      <c r="D99" s="84"/>
    </row>
    <row r="100" spans="1:7">
      <c r="A100" s="24" t="s">
        <v>36</v>
      </c>
      <c r="B100" t="s">
        <v>154</v>
      </c>
    </row>
    <row r="101" spans="1:7">
      <c r="A101" s="24" t="s">
        <v>44</v>
      </c>
      <c r="D101" s="84">
        <f>TRUNC(SUM(D97:D100),2)</f>
        <v>0</v>
      </c>
    </row>
    <row r="102" spans="1:7">
      <c r="A102" s="24"/>
      <c r="D102" s="84"/>
    </row>
    <row r="103" spans="1:7">
      <c r="A103" s="147" t="s">
        <v>185</v>
      </c>
      <c r="B103" s="147"/>
      <c r="C103" s="105" t="s">
        <v>177</v>
      </c>
      <c r="D103" s="106">
        <f>D17</f>
        <v>0</v>
      </c>
    </row>
    <row r="104" spans="1:7">
      <c r="A104" s="147"/>
      <c r="B104" s="147"/>
      <c r="C104" s="108" t="s">
        <v>182</v>
      </c>
      <c r="D104" s="106">
        <f>D56</f>
        <v>0</v>
      </c>
    </row>
    <row r="105" spans="1:7">
      <c r="A105" s="147"/>
      <c r="B105" s="147"/>
      <c r="C105" s="105" t="s">
        <v>183</v>
      </c>
      <c r="D105" s="106">
        <f>D66</f>
        <v>0</v>
      </c>
    </row>
    <row r="106" spans="1:7">
      <c r="A106" s="147"/>
      <c r="B106" s="147"/>
      <c r="C106" s="108" t="s">
        <v>186</v>
      </c>
      <c r="D106" s="106">
        <f>D93</f>
        <v>0</v>
      </c>
    </row>
    <row r="107" spans="1:7">
      <c r="A107" s="147"/>
      <c r="B107" s="147"/>
      <c r="C107" s="105" t="s">
        <v>187</v>
      </c>
      <c r="D107" s="106">
        <f>D101</f>
        <v>0</v>
      </c>
    </row>
    <row r="108" spans="1:7">
      <c r="A108" s="147"/>
      <c r="B108" s="147"/>
      <c r="C108" s="108" t="s">
        <v>179</v>
      </c>
      <c r="D108" s="109">
        <f>TRUNC((SUM(D103:D107)),2)</f>
        <v>0</v>
      </c>
    </row>
    <row r="109" spans="1:7">
      <c r="A109" s="24"/>
      <c r="D109" s="84"/>
    </row>
    <row r="110" spans="1:7">
      <c r="A110" s="140" t="s">
        <v>160</v>
      </c>
      <c r="B110" s="140"/>
      <c r="C110" s="140"/>
      <c r="D110" s="140"/>
      <c r="F110" s="146" t="s">
        <v>188</v>
      </c>
      <c r="G110" s="146"/>
    </row>
    <row r="111" spans="1:7">
      <c r="A111" s="24" t="s">
        <v>161</v>
      </c>
      <c r="B111" t="s">
        <v>162</v>
      </c>
      <c r="C111" s="24" t="s">
        <v>24</v>
      </c>
      <c r="D111" s="24" t="s">
        <v>5</v>
      </c>
      <c r="F111" s="119" t="s">
        <v>189</v>
      </c>
      <c r="G111" s="120"/>
    </row>
    <row r="112" spans="1:7">
      <c r="A112" s="24" t="s">
        <v>28</v>
      </c>
      <c r="B112" t="s">
        <v>163</v>
      </c>
      <c r="C112" s="112">
        <v>0.08</v>
      </c>
      <c r="D112" s="113"/>
      <c r="F112" s="121" t="s">
        <v>190</v>
      </c>
      <c r="G112" s="122"/>
    </row>
    <row r="113" spans="1:7">
      <c r="A113" s="24" t="s">
        <v>31</v>
      </c>
      <c r="B113" t="s">
        <v>45</v>
      </c>
      <c r="C113" s="112">
        <v>0.06</v>
      </c>
      <c r="D113" s="113"/>
      <c r="F113" s="119" t="s">
        <v>191</v>
      </c>
      <c r="G113" s="123"/>
    </row>
    <row r="114" spans="1:7">
      <c r="A114" s="24" t="s">
        <v>34</v>
      </c>
      <c r="B114" t="s">
        <v>164</v>
      </c>
      <c r="C114" s="112"/>
      <c r="D114" s="113"/>
      <c r="F114" s="121" t="s">
        <v>188</v>
      </c>
      <c r="G114" s="122"/>
    </row>
    <row r="115" spans="1:7">
      <c r="A115" s="24" t="s">
        <v>165</v>
      </c>
      <c r="B115" t="s">
        <v>46</v>
      </c>
      <c r="C115" s="112"/>
      <c r="D115" s="113"/>
    </row>
    <row r="116" spans="1:7">
      <c r="A116" s="24" t="s">
        <v>166</v>
      </c>
      <c r="B116" t="s">
        <v>48</v>
      </c>
      <c r="C116" s="112"/>
      <c r="D116" s="113"/>
    </row>
    <row r="117" spans="1:7">
      <c r="A117" s="24" t="s">
        <v>167</v>
      </c>
      <c r="B117" t="s">
        <v>50</v>
      </c>
      <c r="C117" s="112"/>
      <c r="D117" s="113"/>
    </row>
    <row r="118" spans="1:7">
      <c r="A118" s="24" t="s">
        <v>44</v>
      </c>
      <c r="C118" s="124"/>
      <c r="D118" s="84"/>
    </row>
    <row r="119" spans="1:7">
      <c r="A119" s="24"/>
      <c r="C119" s="124"/>
      <c r="D119" s="84"/>
    </row>
    <row r="121" spans="1:7">
      <c r="A121" s="140" t="s">
        <v>168</v>
      </c>
      <c r="B121" s="140"/>
      <c r="C121" s="140"/>
      <c r="D121" s="140"/>
    </row>
    <row r="122" spans="1:7">
      <c r="A122" s="24" t="s">
        <v>2</v>
      </c>
      <c r="B122" s="24" t="s">
        <v>169</v>
      </c>
      <c r="C122" s="24" t="s">
        <v>95</v>
      </c>
      <c r="D122" s="24" t="s">
        <v>5</v>
      </c>
    </row>
    <row r="123" spans="1:7">
      <c r="A123" s="24" t="s">
        <v>28</v>
      </c>
      <c r="B123" t="s">
        <v>22</v>
      </c>
      <c r="D123" s="84"/>
    </row>
    <row r="124" spans="1:7">
      <c r="A124" s="24" t="s">
        <v>31</v>
      </c>
      <c r="B124" t="s">
        <v>47</v>
      </c>
      <c r="D124" s="84"/>
    </row>
    <row r="125" spans="1:7">
      <c r="A125" s="24" t="s">
        <v>34</v>
      </c>
      <c r="B125" t="s">
        <v>101</v>
      </c>
      <c r="D125" s="84"/>
    </row>
    <row r="126" spans="1:7">
      <c r="A126" s="24" t="s">
        <v>36</v>
      </c>
      <c r="B126" t="s">
        <v>170</v>
      </c>
      <c r="D126" s="84"/>
    </row>
    <row r="127" spans="1:7">
      <c r="A127" s="24" t="s">
        <v>39</v>
      </c>
      <c r="B127" t="s">
        <v>148</v>
      </c>
      <c r="D127" s="84"/>
    </row>
    <row r="128" spans="1:7">
      <c r="A128" t="s">
        <v>171</v>
      </c>
      <c r="D128" s="84"/>
    </row>
    <row r="129" spans="1:4">
      <c r="A129" s="24" t="s">
        <v>41</v>
      </c>
      <c r="B129" t="s">
        <v>160</v>
      </c>
      <c r="D129" s="84"/>
    </row>
    <row r="130" spans="1:4">
      <c r="A130" s="48" t="s">
        <v>172</v>
      </c>
      <c r="B130" s="48"/>
      <c r="C130" s="48"/>
      <c r="D130" s="126"/>
    </row>
  </sheetData>
  <mergeCells count="20">
    <mergeCell ref="A1:D1"/>
    <mergeCell ref="F1:G1"/>
    <mergeCell ref="A9:D9"/>
    <mergeCell ref="A19:D19"/>
    <mergeCell ref="A20:D20"/>
    <mergeCell ref="F110:G110"/>
    <mergeCell ref="A121:D121"/>
    <mergeCell ref="A26:B28"/>
    <mergeCell ref="A68:B71"/>
    <mergeCell ref="A103:B108"/>
    <mergeCell ref="A74:D74"/>
    <mergeCell ref="A84:D84"/>
    <mergeCell ref="A89:D89"/>
    <mergeCell ref="A95:D95"/>
    <mergeCell ref="A110:D110"/>
    <mergeCell ref="A30:D30"/>
    <mergeCell ref="A42:D42"/>
    <mergeCell ref="A51:D51"/>
    <mergeCell ref="A58:D58"/>
    <mergeCell ref="A73:D73"/>
  </mergeCells>
  <pageMargins left="0.75" right="0.75" top="1" bottom="1" header="0.5" footer="0.5"/>
  <legacyDrawing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9"/>
  <sheetViews>
    <sheetView workbookViewId="0">
      <selection activeCell="C60" sqref="C60:C65"/>
    </sheetView>
  </sheetViews>
  <sheetFormatPr defaultColWidth="9.140625" defaultRowHeight="15"/>
  <cols>
    <col min="1" max="1" width="26.85546875" customWidth="1"/>
    <col min="2" max="2" width="40.5703125" customWidth="1"/>
    <col min="3" max="3" width="31" customWidth="1"/>
    <col min="4" max="4" width="21.28515625" customWidth="1"/>
    <col min="6" max="6" width="35.42578125" customWidth="1"/>
    <col min="7" max="7" width="11.28515625" customWidth="1"/>
  </cols>
  <sheetData>
    <row r="1" spans="1:7">
      <c r="A1" s="145" t="s">
        <v>0</v>
      </c>
      <c r="B1" s="145"/>
      <c r="C1" s="145"/>
      <c r="D1" s="145"/>
      <c r="F1" s="144" t="s">
        <v>1</v>
      </c>
      <c r="G1" s="144"/>
    </row>
    <row r="2" spans="1:7">
      <c r="A2" s="24" t="s">
        <v>2</v>
      </c>
      <c r="B2" t="s">
        <v>3</v>
      </c>
      <c r="C2" s="24" t="s">
        <v>4</v>
      </c>
      <c r="D2" s="24" t="s">
        <v>5</v>
      </c>
      <c r="F2" t="s">
        <v>3</v>
      </c>
      <c r="G2" t="s">
        <v>5</v>
      </c>
    </row>
    <row r="3" spans="1:7">
      <c r="A3" s="24">
        <v>1</v>
      </c>
      <c r="B3" t="s">
        <v>6</v>
      </c>
      <c r="C3" s="24"/>
      <c r="D3" s="24" t="s">
        <v>7</v>
      </c>
      <c r="F3" t="s">
        <v>8</v>
      </c>
      <c r="G3" s="98"/>
    </row>
    <row r="4" spans="1:7">
      <c r="A4" s="24">
        <v>2</v>
      </c>
      <c r="B4" t="s">
        <v>9</v>
      </c>
      <c r="C4" s="24"/>
      <c r="D4" s="24" t="s">
        <v>95</v>
      </c>
      <c r="F4" t="s">
        <v>11</v>
      </c>
      <c r="G4" s="98"/>
    </row>
    <row r="5" spans="1:7">
      <c r="A5" s="24">
        <v>3</v>
      </c>
      <c r="B5" t="s">
        <v>12</v>
      </c>
      <c r="C5" s="24" t="s">
        <v>192</v>
      </c>
      <c r="D5" s="99"/>
      <c r="F5" t="s">
        <v>14</v>
      </c>
      <c r="G5" s="97"/>
    </row>
    <row r="6" spans="1:7">
      <c r="A6" s="24">
        <v>4</v>
      </c>
      <c r="B6" t="s">
        <v>15</v>
      </c>
      <c r="C6" s="24" t="s">
        <v>174</v>
      </c>
      <c r="D6" s="24" t="s">
        <v>193</v>
      </c>
      <c r="F6" t="s">
        <v>18</v>
      </c>
      <c r="G6" s="100"/>
    </row>
    <row r="7" spans="1:7">
      <c r="A7" s="24">
        <v>5</v>
      </c>
      <c r="B7" t="s">
        <v>19</v>
      </c>
      <c r="C7" s="24"/>
      <c r="D7" s="24" t="s">
        <v>20</v>
      </c>
    </row>
    <row r="8" spans="1:7">
      <c r="F8" s="101"/>
      <c r="G8" s="102"/>
    </row>
    <row r="9" spans="1:7">
      <c r="A9" s="140" t="s">
        <v>22</v>
      </c>
      <c r="B9" s="140"/>
      <c r="C9" s="140"/>
      <c r="D9" s="140"/>
      <c r="F9" s="101"/>
      <c r="G9" s="102"/>
    </row>
    <row r="10" spans="1:7">
      <c r="A10" s="24" t="s">
        <v>25</v>
      </c>
      <c r="B10" t="s">
        <v>26</v>
      </c>
      <c r="C10" s="24" t="s">
        <v>4</v>
      </c>
      <c r="D10" s="24" t="s">
        <v>5</v>
      </c>
      <c r="F10" s="101"/>
      <c r="G10" s="102"/>
    </row>
    <row r="11" spans="1:7">
      <c r="A11" s="24" t="s">
        <v>28</v>
      </c>
      <c r="B11" t="s">
        <v>29</v>
      </c>
      <c r="C11" s="24"/>
      <c r="D11" s="84">
        <f>D5</f>
        <v>0</v>
      </c>
      <c r="F11" s="101"/>
      <c r="G11" s="102"/>
    </row>
    <row r="12" spans="1:7">
      <c r="A12" s="24" t="s">
        <v>31</v>
      </c>
      <c r="B12" t="s">
        <v>32</v>
      </c>
      <c r="C12" s="24"/>
      <c r="D12" s="84"/>
      <c r="F12" s="101"/>
      <c r="G12" s="102"/>
    </row>
    <row r="13" spans="1:7">
      <c r="A13" s="24" t="s">
        <v>34</v>
      </c>
      <c r="B13" t="s">
        <v>35</v>
      </c>
      <c r="C13" s="24"/>
      <c r="D13" s="84"/>
      <c r="F13" s="101"/>
      <c r="G13" s="102"/>
    </row>
    <row r="14" spans="1:7">
      <c r="A14" s="24" t="s">
        <v>36</v>
      </c>
      <c r="B14" t="s">
        <v>37</v>
      </c>
      <c r="C14" s="24"/>
      <c r="D14" s="84"/>
      <c r="F14" s="101"/>
      <c r="G14" s="102"/>
    </row>
    <row r="15" spans="1:7">
      <c r="A15" s="24" t="s">
        <v>39</v>
      </c>
      <c r="B15" t="s">
        <v>40</v>
      </c>
      <c r="C15" s="24"/>
      <c r="D15" s="84"/>
      <c r="F15" s="101"/>
      <c r="G15" s="102"/>
    </row>
    <row r="16" spans="1:7">
      <c r="A16" s="24" t="s">
        <v>41</v>
      </c>
      <c r="B16" t="s">
        <v>42</v>
      </c>
      <c r="C16" s="24"/>
      <c r="D16" s="84"/>
      <c r="F16" s="101"/>
      <c r="G16" s="102"/>
    </row>
    <row r="17" spans="1:7">
      <c r="A17" s="24" t="s">
        <v>44</v>
      </c>
      <c r="C17" s="24"/>
      <c r="D17" s="84">
        <f>TRUNC(SUM(D11:D16),2)</f>
        <v>0</v>
      </c>
      <c r="F17" s="101"/>
      <c r="G17" s="102"/>
    </row>
    <row r="18" spans="1:7">
      <c r="F18" s="101"/>
      <c r="G18" s="102"/>
    </row>
    <row r="19" spans="1:7">
      <c r="A19" s="143" t="s">
        <v>47</v>
      </c>
      <c r="B19" s="143"/>
      <c r="C19" s="143"/>
      <c r="D19" s="143"/>
      <c r="F19" s="101"/>
      <c r="G19" s="102"/>
    </row>
    <row r="20" spans="1:7">
      <c r="A20" s="144" t="s">
        <v>49</v>
      </c>
      <c r="B20" s="144"/>
      <c r="C20" s="144"/>
      <c r="D20" s="144"/>
      <c r="F20" s="101"/>
      <c r="G20" s="102"/>
    </row>
    <row r="21" spans="1:7">
      <c r="A21" s="24" t="s">
        <v>51</v>
      </c>
      <c r="B21" t="s">
        <v>52</v>
      </c>
      <c r="C21" s="24" t="s">
        <v>4</v>
      </c>
      <c r="D21" s="24" t="s">
        <v>5</v>
      </c>
      <c r="F21" s="101"/>
      <c r="G21" s="102"/>
    </row>
    <row r="22" spans="1:7">
      <c r="A22" s="24" t="s">
        <v>28</v>
      </c>
      <c r="B22" t="s">
        <v>53</v>
      </c>
      <c r="C22" s="103">
        <f>(1/12)</f>
        <v>8.3333333333333329E-2</v>
      </c>
      <c r="D22" s="84">
        <f>TRUNC($D$17*C22,2)</f>
        <v>0</v>
      </c>
      <c r="F22" s="101"/>
      <c r="G22" s="102"/>
    </row>
    <row r="23" spans="1:7">
      <c r="A23" s="24" t="s">
        <v>31</v>
      </c>
      <c r="B23" t="s">
        <v>55</v>
      </c>
      <c r="C23" s="103">
        <f>(((1+1/3)/12))</f>
        <v>0.1111111111111111</v>
      </c>
      <c r="D23" s="84">
        <f>TRUNC($D$17*C23,2)</f>
        <v>0</v>
      </c>
      <c r="E23" s="104"/>
      <c r="F23" s="101"/>
      <c r="G23" s="102"/>
    </row>
    <row r="24" spans="1:7">
      <c r="A24" s="24" t="s">
        <v>44</v>
      </c>
      <c r="D24" s="84">
        <f>TRUNC(SUM(D22:D23),2)</f>
        <v>0</v>
      </c>
      <c r="F24" s="101"/>
      <c r="G24" s="102"/>
    </row>
    <row r="25" spans="1:7">
      <c r="A25" s="24"/>
      <c r="D25" s="84"/>
      <c r="F25" s="101"/>
      <c r="G25" s="102"/>
    </row>
    <row r="26" spans="1:7">
      <c r="A26" s="147" t="s">
        <v>176</v>
      </c>
      <c r="B26" s="147"/>
      <c r="C26" s="105" t="s">
        <v>177</v>
      </c>
      <c r="D26" s="106">
        <f>D17</f>
        <v>0</v>
      </c>
      <c r="F26" s="107"/>
      <c r="G26" s="107"/>
    </row>
    <row r="27" spans="1:7">
      <c r="A27" s="147"/>
      <c r="B27" s="147"/>
      <c r="C27" s="108" t="s">
        <v>178</v>
      </c>
      <c r="D27" s="106">
        <f>D24</f>
        <v>0</v>
      </c>
      <c r="F27" s="107"/>
      <c r="G27" s="107"/>
    </row>
    <row r="28" spans="1:7">
      <c r="A28" s="147"/>
      <c r="B28" s="147"/>
      <c r="C28" s="105" t="s">
        <v>179</v>
      </c>
      <c r="D28" s="109">
        <f>TRUNC((SUM(D26:D27)),2)</f>
        <v>0</v>
      </c>
      <c r="F28" s="107"/>
      <c r="G28" s="107"/>
    </row>
    <row r="29" spans="1:7">
      <c r="A29" s="24"/>
      <c r="B29" s="24"/>
      <c r="C29" s="110"/>
      <c r="F29" s="107"/>
      <c r="G29" s="107"/>
    </row>
    <row r="30" spans="1:7">
      <c r="A30" s="144" t="s">
        <v>66</v>
      </c>
      <c r="B30" s="144"/>
      <c r="C30" s="144"/>
      <c r="D30" s="144"/>
    </row>
    <row r="31" spans="1:7">
      <c r="A31" s="24" t="s">
        <v>67</v>
      </c>
      <c r="B31" t="s">
        <v>68</v>
      </c>
      <c r="C31" s="24" t="s">
        <v>24</v>
      </c>
      <c r="D31" s="24" t="s">
        <v>69</v>
      </c>
    </row>
    <row r="32" spans="1:7">
      <c r="A32" s="24" t="s">
        <v>28</v>
      </c>
      <c r="B32" t="s">
        <v>70</v>
      </c>
      <c r="C32" s="111">
        <v>0.2</v>
      </c>
      <c r="D32" s="84">
        <f t="shared" ref="D32:D39" si="0">TRUNC(($D$28*C32),2)</f>
        <v>0</v>
      </c>
    </row>
    <row r="33" spans="1:4">
      <c r="A33" s="24" t="s">
        <v>31</v>
      </c>
      <c r="B33" t="s">
        <v>71</v>
      </c>
      <c r="C33" s="111">
        <v>2.5000000000000001E-2</v>
      </c>
      <c r="D33" s="84">
        <f t="shared" si="0"/>
        <v>0</v>
      </c>
    </row>
    <row r="34" spans="1:4">
      <c r="A34" s="24" t="s">
        <v>34</v>
      </c>
      <c r="B34" t="s">
        <v>72</v>
      </c>
      <c r="C34" s="112">
        <f>G6</f>
        <v>0</v>
      </c>
      <c r="D34" s="113">
        <f t="shared" si="0"/>
        <v>0</v>
      </c>
    </row>
    <row r="35" spans="1:4">
      <c r="A35" s="24" t="s">
        <v>36</v>
      </c>
      <c r="B35" t="s">
        <v>73</v>
      </c>
      <c r="C35" s="111">
        <v>1.4999999999999999E-2</v>
      </c>
      <c r="D35" s="84">
        <f t="shared" si="0"/>
        <v>0</v>
      </c>
    </row>
    <row r="36" spans="1:4">
      <c r="A36" s="24" t="s">
        <v>39</v>
      </c>
      <c r="B36" t="s">
        <v>74</v>
      </c>
      <c r="C36" s="111">
        <v>0.01</v>
      </c>
      <c r="D36" s="84">
        <f t="shared" si="0"/>
        <v>0</v>
      </c>
    </row>
    <row r="37" spans="1:4">
      <c r="A37" s="24" t="s">
        <v>41</v>
      </c>
      <c r="B37" t="s">
        <v>75</v>
      </c>
      <c r="C37" s="111">
        <v>6.0000000000000001E-3</v>
      </c>
      <c r="D37" s="84">
        <f t="shared" si="0"/>
        <v>0</v>
      </c>
    </row>
    <row r="38" spans="1:4">
      <c r="A38" s="24" t="s">
        <v>76</v>
      </c>
      <c r="B38" t="s">
        <v>77</v>
      </c>
      <c r="C38" s="111">
        <v>2E-3</v>
      </c>
      <c r="D38" s="84">
        <f t="shared" si="0"/>
        <v>0</v>
      </c>
    </row>
    <row r="39" spans="1:4">
      <c r="A39" s="24" t="s">
        <v>78</v>
      </c>
      <c r="B39" t="s">
        <v>79</v>
      </c>
      <c r="C39" s="111">
        <v>0.08</v>
      </c>
      <c r="D39" s="84">
        <f t="shared" si="0"/>
        <v>0</v>
      </c>
    </row>
    <row r="40" spans="1:4">
      <c r="A40" s="24" t="s">
        <v>44</v>
      </c>
      <c r="C40" s="114">
        <f>SUBTOTAL(109,Submódulo2.267_75136[Percentual])</f>
        <v>0.33800000000000002</v>
      </c>
      <c r="D40" s="84">
        <f>TRUNC(SUM(D32:D39),2)</f>
        <v>0</v>
      </c>
    </row>
    <row r="41" spans="1:4">
      <c r="A41" s="24"/>
      <c r="C41" s="114"/>
      <c r="D41" s="84"/>
    </row>
    <row r="42" spans="1:4">
      <c r="A42" s="144" t="s">
        <v>84</v>
      </c>
      <c r="B42" s="144"/>
      <c r="C42" s="144"/>
      <c r="D42" s="144"/>
    </row>
    <row r="43" spans="1:4">
      <c r="A43" s="24" t="s">
        <v>85</v>
      </c>
      <c r="B43" t="s">
        <v>86</v>
      </c>
      <c r="C43" s="24" t="s">
        <v>4</v>
      </c>
      <c r="D43" s="24" t="s">
        <v>5</v>
      </c>
    </row>
    <row r="44" spans="1:4">
      <c r="A44" s="24" t="s">
        <v>28</v>
      </c>
      <c r="B44" t="s">
        <v>87</v>
      </c>
      <c r="D44" s="113"/>
    </row>
    <row r="45" spans="1:4">
      <c r="A45" s="24" t="s">
        <v>31</v>
      </c>
      <c r="B45" t="s">
        <v>88</v>
      </c>
      <c r="D45" s="113"/>
    </row>
    <row r="46" spans="1:4">
      <c r="A46" s="24" t="s">
        <v>34</v>
      </c>
      <c r="B46" t="s">
        <v>89</v>
      </c>
      <c r="D46" s="113"/>
    </row>
    <row r="47" spans="1:4">
      <c r="A47" s="24" t="s">
        <v>36</v>
      </c>
      <c r="B47" t="s">
        <v>90</v>
      </c>
      <c r="C47" s="115" t="s">
        <v>174</v>
      </c>
      <c r="D47" s="113"/>
    </row>
    <row r="48" spans="1:4">
      <c r="A48" s="24" t="s">
        <v>39</v>
      </c>
      <c r="B48" t="s">
        <v>92</v>
      </c>
      <c r="C48" s="115" t="s">
        <v>174</v>
      </c>
      <c r="D48" s="113"/>
    </row>
    <row r="49" spans="1:4">
      <c r="A49" s="24" t="s">
        <v>44</v>
      </c>
      <c r="D49" s="84">
        <f>TRUNC(SUM(D44:D48),2)</f>
        <v>0</v>
      </c>
    </row>
    <row r="50" spans="1:4">
      <c r="A50" s="24"/>
      <c r="D50" s="84"/>
    </row>
    <row r="51" spans="1:4">
      <c r="A51" s="144" t="s">
        <v>98</v>
      </c>
      <c r="B51" s="144"/>
      <c r="C51" s="144"/>
      <c r="D51" s="144"/>
    </row>
    <row r="52" spans="1:4">
      <c r="A52" s="24" t="s">
        <v>99</v>
      </c>
      <c r="B52" t="s">
        <v>100</v>
      </c>
      <c r="C52" s="24" t="s">
        <v>4</v>
      </c>
      <c r="D52" s="24" t="s">
        <v>5</v>
      </c>
    </row>
    <row r="53" spans="1:4">
      <c r="A53" s="24" t="s">
        <v>51</v>
      </c>
      <c r="B53" t="s">
        <v>52</v>
      </c>
      <c r="C53" s="24"/>
      <c r="D53" s="84">
        <f>D24</f>
        <v>0</v>
      </c>
    </row>
    <row r="54" spans="1:4">
      <c r="A54" s="24" t="s">
        <v>67</v>
      </c>
      <c r="B54" t="s">
        <v>68</v>
      </c>
      <c r="C54" s="24"/>
      <c r="D54" s="84">
        <f>D40</f>
        <v>0</v>
      </c>
    </row>
    <row r="55" spans="1:4">
      <c r="A55" s="24" t="s">
        <v>85</v>
      </c>
      <c r="B55" t="s">
        <v>86</v>
      </c>
      <c r="C55" s="24"/>
      <c r="D55" s="84">
        <f>D49</f>
        <v>0</v>
      </c>
    </row>
    <row r="56" spans="1:4">
      <c r="A56" s="24" t="s">
        <v>44</v>
      </c>
      <c r="C56" s="24"/>
      <c r="D56" s="84">
        <f>TRUNC(SUM(D53:D55),2)</f>
        <v>0</v>
      </c>
    </row>
    <row r="58" spans="1:4">
      <c r="A58" s="140" t="s">
        <v>101</v>
      </c>
      <c r="B58" s="140"/>
      <c r="C58" s="140"/>
      <c r="D58" s="140"/>
    </row>
    <row r="59" spans="1:4">
      <c r="A59" s="24" t="s">
        <v>102</v>
      </c>
      <c r="B59" t="s">
        <v>103</v>
      </c>
      <c r="C59" s="24" t="s">
        <v>4</v>
      </c>
      <c r="D59" s="24" t="s">
        <v>5</v>
      </c>
    </row>
    <row r="60" spans="1:4">
      <c r="A60" s="24" t="s">
        <v>28</v>
      </c>
      <c r="B60" s="23" t="s">
        <v>104</v>
      </c>
      <c r="C60" s="116"/>
      <c r="D60" s="117">
        <f>TRUNC(($D$17*C60),2)</f>
        <v>0</v>
      </c>
    </row>
    <row r="61" spans="1:4" ht="30">
      <c r="A61" s="24" t="s">
        <v>31</v>
      </c>
      <c r="B61" s="23" t="s">
        <v>105</v>
      </c>
      <c r="C61" s="103"/>
      <c r="D61" s="42">
        <f>TRUNC(D60*C61,2)</f>
        <v>0</v>
      </c>
    </row>
    <row r="62" spans="1:4" ht="30">
      <c r="A62" s="24" t="s">
        <v>34</v>
      </c>
      <c r="B62" s="23" t="s">
        <v>106</v>
      </c>
      <c r="C62" s="116"/>
      <c r="D62" s="117">
        <f>TRUNC(($D$17*C62),2)</f>
        <v>0</v>
      </c>
    </row>
    <row r="63" spans="1:4">
      <c r="A63" s="24" t="s">
        <v>36</v>
      </c>
      <c r="B63" s="23" t="s">
        <v>107</v>
      </c>
      <c r="C63" s="103"/>
      <c r="D63" s="42">
        <f>TRUNC(($D$17*C63),2)</f>
        <v>0</v>
      </c>
    </row>
    <row r="64" spans="1:4" ht="45">
      <c r="A64" s="24" t="s">
        <v>39</v>
      </c>
      <c r="B64" s="23" t="s">
        <v>180</v>
      </c>
      <c r="C64" s="103"/>
      <c r="D64" s="42">
        <f>TRUNC(D63*C64,2)</f>
        <v>0</v>
      </c>
    </row>
    <row r="65" spans="1:5" ht="30">
      <c r="A65" s="24" t="s">
        <v>41</v>
      </c>
      <c r="B65" s="23" t="s">
        <v>108</v>
      </c>
      <c r="C65" s="116"/>
      <c r="D65" s="117">
        <f>TRUNC(($D$17*C65),2)</f>
        <v>0</v>
      </c>
    </row>
    <row r="66" spans="1:5">
      <c r="A66" s="24" t="s">
        <v>44</v>
      </c>
      <c r="D66" s="84">
        <f>TRUNC(SUM(D60:D65),2)</f>
        <v>0</v>
      </c>
    </row>
    <row r="67" spans="1:5">
      <c r="A67" s="24"/>
      <c r="D67" s="84"/>
    </row>
    <row r="68" spans="1:5">
      <c r="A68" s="147" t="s">
        <v>181</v>
      </c>
      <c r="B68" s="147"/>
      <c r="C68" s="105" t="s">
        <v>177</v>
      </c>
      <c r="D68" s="106">
        <f>D17</f>
        <v>0</v>
      </c>
    </row>
    <row r="69" spans="1:5">
      <c r="A69" s="147"/>
      <c r="B69" s="147"/>
      <c r="C69" s="108" t="s">
        <v>182</v>
      </c>
      <c r="D69" s="106">
        <f>D56</f>
        <v>0</v>
      </c>
    </row>
    <row r="70" spans="1:5">
      <c r="A70" s="147"/>
      <c r="B70" s="147"/>
      <c r="C70" s="105" t="s">
        <v>183</v>
      </c>
      <c r="D70" s="106">
        <f>D66</f>
        <v>0</v>
      </c>
    </row>
    <row r="71" spans="1:5">
      <c r="A71" s="147"/>
      <c r="B71" s="147"/>
      <c r="C71" s="108" t="s">
        <v>179</v>
      </c>
      <c r="D71" s="109">
        <f>TRUNC((SUM(D68:D70)),2)</f>
        <v>0</v>
      </c>
    </row>
    <row r="72" spans="1:5">
      <c r="A72" s="24"/>
      <c r="D72" s="84"/>
    </row>
    <row r="73" spans="1:5">
      <c r="A73" s="142" t="s">
        <v>120</v>
      </c>
      <c r="B73" s="143"/>
      <c r="C73" s="143"/>
      <c r="D73" s="143"/>
    </row>
    <row r="74" spans="1:5">
      <c r="A74" s="139" t="s">
        <v>121</v>
      </c>
      <c r="B74" s="139"/>
      <c r="C74" s="139"/>
      <c r="D74" s="139"/>
    </row>
    <row r="75" spans="1:5">
      <c r="A75" s="24" t="s">
        <v>122</v>
      </c>
      <c r="B75" t="s">
        <v>123</v>
      </c>
      <c r="C75" s="24" t="s">
        <v>124</v>
      </c>
      <c r="D75" s="24" t="s">
        <v>5</v>
      </c>
    </row>
    <row r="76" spans="1:5">
      <c r="A76" s="24" t="s">
        <v>28</v>
      </c>
      <c r="B76" t="s">
        <v>125</v>
      </c>
      <c r="C76" s="118"/>
      <c r="D76" s="84">
        <f t="shared" ref="D76:D81" si="1">TRUNC(($D$71*C76),2)</f>
        <v>0</v>
      </c>
      <c r="E76" s="104"/>
    </row>
    <row r="77" spans="1:5">
      <c r="A77" s="24" t="s">
        <v>31</v>
      </c>
      <c r="B77" t="s">
        <v>126</v>
      </c>
      <c r="C77" s="118"/>
      <c r="D77" s="84">
        <f t="shared" si="1"/>
        <v>0</v>
      </c>
      <c r="E77" s="104"/>
    </row>
    <row r="78" spans="1:5">
      <c r="A78" s="24" t="s">
        <v>34</v>
      </c>
      <c r="B78" t="s">
        <v>127</v>
      </c>
      <c r="C78" s="118"/>
      <c r="D78" s="84">
        <f t="shared" si="1"/>
        <v>0</v>
      </c>
      <c r="E78" s="104"/>
    </row>
    <row r="79" spans="1:5">
      <c r="A79" s="24" t="s">
        <v>36</v>
      </c>
      <c r="B79" t="s">
        <v>128</v>
      </c>
      <c r="C79" s="118"/>
      <c r="D79" s="84">
        <f t="shared" si="1"/>
        <v>0</v>
      </c>
      <c r="E79" s="104"/>
    </row>
    <row r="80" spans="1:5">
      <c r="A80" s="24" t="s">
        <v>39</v>
      </c>
      <c r="B80" t="s">
        <v>129</v>
      </c>
      <c r="C80" s="118"/>
      <c r="D80" s="84">
        <f t="shared" si="1"/>
        <v>0</v>
      </c>
      <c r="E80" s="104"/>
    </row>
    <row r="81" spans="1:5">
      <c r="A81" s="24" t="s">
        <v>41</v>
      </c>
      <c r="B81" t="s">
        <v>184</v>
      </c>
      <c r="C81" s="118"/>
      <c r="D81" s="84">
        <f t="shared" si="1"/>
        <v>0</v>
      </c>
      <c r="E81" s="104"/>
    </row>
    <row r="82" spans="1:5">
      <c r="A82" s="24" t="s">
        <v>44</v>
      </c>
      <c r="C82" s="118">
        <f>SUBTOTAL(109,Submódulo4.12511_4132[Dias de ausência])</f>
        <v>0</v>
      </c>
      <c r="D82" s="84">
        <f>TRUNC(SUM(D76:D81),2)</f>
        <v>0</v>
      </c>
    </row>
    <row r="83" spans="1:5">
      <c r="A83" s="24"/>
      <c r="C83" s="24"/>
      <c r="D83" s="84"/>
    </row>
    <row r="84" spans="1:5">
      <c r="A84" s="144" t="s">
        <v>140</v>
      </c>
      <c r="B84" s="144"/>
      <c r="C84" s="144"/>
      <c r="D84" s="144"/>
    </row>
    <row r="85" spans="1:5">
      <c r="A85" s="24" t="s">
        <v>141</v>
      </c>
      <c r="B85" t="s">
        <v>142</v>
      </c>
      <c r="C85" s="24" t="s">
        <v>4</v>
      </c>
      <c r="D85" s="24" t="s">
        <v>5</v>
      </c>
    </row>
    <row r="86" spans="1:5">
      <c r="A86" s="24" t="s">
        <v>28</v>
      </c>
      <c r="B86" t="s">
        <v>143</v>
      </c>
      <c r="C86" s="24"/>
      <c r="D86" s="84"/>
    </row>
    <row r="87" spans="1:5">
      <c r="A87" s="24" t="s">
        <v>44</v>
      </c>
      <c r="C87" s="24"/>
      <c r="D87" s="84">
        <f>SUBTOTAL(109,Submódulo4.22612_31129[Valor])</f>
        <v>0</v>
      </c>
    </row>
    <row r="89" spans="1:5">
      <c r="A89" s="139" t="s">
        <v>144</v>
      </c>
      <c r="B89" s="139"/>
      <c r="C89" s="139"/>
      <c r="D89" s="139"/>
    </row>
    <row r="90" spans="1:5">
      <c r="A90" s="24" t="s">
        <v>145</v>
      </c>
      <c r="B90" t="s">
        <v>146</v>
      </c>
      <c r="C90" s="24" t="s">
        <v>4</v>
      </c>
      <c r="D90" s="24" t="s">
        <v>5</v>
      </c>
    </row>
    <row r="91" spans="1:5">
      <c r="A91" s="24" t="s">
        <v>122</v>
      </c>
      <c r="B91" t="s">
        <v>123</v>
      </c>
      <c r="D91" s="84">
        <f>D82</f>
        <v>0</v>
      </c>
    </row>
    <row r="92" spans="1:5">
      <c r="A92" s="24" t="s">
        <v>141</v>
      </c>
      <c r="B92" t="s">
        <v>147</v>
      </c>
      <c r="D92" s="84">
        <f>Submódulo4.22612_31129[[#Totals],[Valor]]</f>
        <v>0</v>
      </c>
    </row>
    <row r="93" spans="1:5">
      <c r="A93" s="24" t="s">
        <v>44</v>
      </c>
      <c r="D93" s="84">
        <f>TRUNC(SUM(D91:D92),2)</f>
        <v>0</v>
      </c>
    </row>
    <row r="95" spans="1:5">
      <c r="A95" s="140" t="s">
        <v>148</v>
      </c>
      <c r="B95" s="140"/>
      <c r="C95" s="140"/>
      <c r="D95" s="140"/>
    </row>
    <row r="96" spans="1:5">
      <c r="A96" s="24" t="s">
        <v>149</v>
      </c>
      <c r="B96" t="s">
        <v>150</v>
      </c>
      <c r="C96" s="24" t="s">
        <v>4</v>
      </c>
      <c r="D96" s="24" t="s">
        <v>5</v>
      </c>
    </row>
    <row r="97" spans="1:7">
      <c r="A97" s="24" t="s">
        <v>28</v>
      </c>
      <c r="B97" t="s">
        <v>151</v>
      </c>
      <c r="D97" s="71"/>
    </row>
    <row r="98" spans="1:7">
      <c r="A98" s="24" t="s">
        <v>31</v>
      </c>
      <c r="B98" t="s">
        <v>152</v>
      </c>
      <c r="D98" s="71"/>
    </row>
    <row r="99" spans="1:7">
      <c r="A99" s="24" t="s">
        <v>34</v>
      </c>
      <c r="B99" t="s">
        <v>153</v>
      </c>
      <c r="D99" s="71"/>
    </row>
    <row r="100" spans="1:7">
      <c r="A100" s="24" t="s">
        <v>36</v>
      </c>
      <c r="B100" t="s">
        <v>154</v>
      </c>
      <c r="D100" s="71"/>
    </row>
    <row r="101" spans="1:7">
      <c r="A101" s="24" t="s">
        <v>44</v>
      </c>
      <c r="D101" s="84"/>
    </row>
    <row r="102" spans="1:7">
      <c r="A102" s="24"/>
      <c r="D102" s="84"/>
    </row>
    <row r="103" spans="1:7">
      <c r="A103" s="147" t="s">
        <v>185</v>
      </c>
      <c r="B103" s="147"/>
      <c r="C103" s="105" t="s">
        <v>177</v>
      </c>
      <c r="D103" s="106">
        <f>D17</f>
        <v>0</v>
      </c>
    </row>
    <row r="104" spans="1:7">
      <c r="A104" s="147"/>
      <c r="B104" s="147"/>
      <c r="C104" s="108" t="s">
        <v>182</v>
      </c>
      <c r="D104" s="106">
        <f>D56</f>
        <v>0</v>
      </c>
    </row>
    <row r="105" spans="1:7">
      <c r="A105" s="147"/>
      <c r="B105" s="147"/>
      <c r="C105" s="105" t="s">
        <v>183</v>
      </c>
      <c r="D105" s="106">
        <f>D66</f>
        <v>0</v>
      </c>
    </row>
    <row r="106" spans="1:7">
      <c r="A106" s="147"/>
      <c r="B106" s="147"/>
      <c r="C106" s="108" t="s">
        <v>186</v>
      </c>
      <c r="D106" s="106">
        <f>D93</f>
        <v>0</v>
      </c>
    </row>
    <row r="107" spans="1:7">
      <c r="A107" s="147"/>
      <c r="B107" s="147"/>
      <c r="C107" s="105" t="s">
        <v>187</v>
      </c>
      <c r="D107" s="106">
        <f>D101</f>
        <v>0</v>
      </c>
    </row>
    <row r="108" spans="1:7">
      <c r="A108" s="147"/>
      <c r="B108" s="147"/>
      <c r="C108" s="108" t="s">
        <v>179</v>
      </c>
      <c r="D108" s="109">
        <f>TRUNC((SUM(D103:D107)),2)</f>
        <v>0</v>
      </c>
    </row>
    <row r="109" spans="1:7">
      <c r="A109" s="24"/>
      <c r="D109" s="84"/>
    </row>
    <row r="110" spans="1:7">
      <c r="A110" s="140" t="s">
        <v>160</v>
      </c>
      <c r="B110" s="140"/>
      <c r="C110" s="140"/>
      <c r="D110" s="140"/>
      <c r="F110" s="146" t="s">
        <v>188</v>
      </c>
      <c r="G110" s="146"/>
    </row>
    <row r="111" spans="1:7">
      <c r="A111" s="24" t="s">
        <v>161</v>
      </c>
      <c r="B111" t="s">
        <v>162</v>
      </c>
      <c r="C111" s="24" t="s">
        <v>24</v>
      </c>
      <c r="D111" s="24" t="s">
        <v>5</v>
      </c>
      <c r="F111" s="119" t="s">
        <v>189</v>
      </c>
      <c r="G111" s="120"/>
    </row>
    <row r="112" spans="1:7">
      <c r="A112" s="24" t="s">
        <v>28</v>
      </c>
      <c r="B112" t="s">
        <v>163</v>
      </c>
      <c r="C112" s="112">
        <v>0.08</v>
      </c>
      <c r="D112" s="113">
        <f>TRUNC(($D$108*C112),2)</f>
        <v>0</v>
      </c>
      <c r="F112" s="121" t="s">
        <v>190</v>
      </c>
      <c r="G112" s="122"/>
    </row>
    <row r="113" spans="1:7">
      <c r="A113" s="24" t="s">
        <v>31</v>
      </c>
      <c r="B113" t="s">
        <v>45</v>
      </c>
      <c r="C113" s="112">
        <v>0.06</v>
      </c>
      <c r="D113" s="113">
        <f>TRUNC((D108+D112)*C113,2)</f>
        <v>0</v>
      </c>
      <c r="F113" s="119" t="s">
        <v>191</v>
      </c>
      <c r="G113" s="123"/>
    </row>
    <row r="114" spans="1:7">
      <c r="A114" s="24" t="s">
        <v>34</v>
      </c>
      <c r="B114" t="s">
        <v>164</v>
      </c>
      <c r="C114" s="112"/>
      <c r="D114" s="113">
        <f>SUM(D115:D117)</f>
        <v>0</v>
      </c>
      <c r="F114" s="121" t="s">
        <v>188</v>
      </c>
      <c r="G114" s="122"/>
    </row>
    <row r="115" spans="1:7">
      <c r="A115" s="24" t="s">
        <v>165</v>
      </c>
      <c r="B115" t="s">
        <v>46</v>
      </c>
      <c r="C115" s="112"/>
      <c r="D115" s="113">
        <f>TRUNC($G$114*C115,2)</f>
        <v>0</v>
      </c>
    </row>
    <row r="116" spans="1:7">
      <c r="A116" s="24" t="s">
        <v>166</v>
      </c>
      <c r="B116" t="s">
        <v>48</v>
      </c>
      <c r="C116" s="112"/>
      <c r="D116" s="113">
        <f>TRUNC($G$114*C116,2)</f>
        <v>0</v>
      </c>
    </row>
    <row r="117" spans="1:7">
      <c r="A117" s="24" t="s">
        <v>167</v>
      </c>
      <c r="B117" t="s">
        <v>50</v>
      </c>
      <c r="C117" s="112"/>
      <c r="D117" s="113">
        <f>TRUNC($G$114*C117,2)</f>
        <v>0</v>
      </c>
    </row>
    <row r="118" spans="1:7">
      <c r="A118" s="24" t="s">
        <v>44</v>
      </c>
      <c r="C118" s="124"/>
      <c r="D118" s="84">
        <f>TRUNC(SUM(D112:D114),2)</f>
        <v>0</v>
      </c>
    </row>
    <row r="119" spans="1:7">
      <c r="A119" s="24"/>
      <c r="C119" s="124"/>
      <c r="D119" s="84"/>
    </row>
    <row r="120" spans="1:7">
      <c r="A120" s="140" t="s">
        <v>168</v>
      </c>
      <c r="B120" s="140"/>
      <c r="C120" s="140"/>
      <c r="D120" s="140"/>
    </row>
    <row r="121" spans="1:7">
      <c r="A121" s="24" t="s">
        <v>2</v>
      </c>
      <c r="B121" s="24" t="s">
        <v>169</v>
      </c>
      <c r="C121" s="24" t="s">
        <v>95</v>
      </c>
      <c r="D121" s="24" t="s">
        <v>5</v>
      </c>
    </row>
    <row r="122" spans="1:7">
      <c r="A122" s="24" t="s">
        <v>28</v>
      </c>
      <c r="B122" t="s">
        <v>22</v>
      </c>
      <c r="D122" s="84">
        <f>D17</f>
        <v>0</v>
      </c>
    </row>
    <row r="123" spans="1:7">
      <c r="A123" s="24" t="s">
        <v>31</v>
      </c>
      <c r="B123" t="s">
        <v>47</v>
      </c>
      <c r="D123" s="84">
        <f>D56</f>
        <v>0</v>
      </c>
    </row>
    <row r="124" spans="1:7">
      <c r="A124" s="24" t="s">
        <v>34</v>
      </c>
      <c r="B124" t="s">
        <v>101</v>
      </c>
      <c r="D124" s="84">
        <f>D66</f>
        <v>0</v>
      </c>
    </row>
    <row r="125" spans="1:7">
      <c r="A125" s="24" t="s">
        <v>36</v>
      </c>
      <c r="B125" t="s">
        <v>170</v>
      </c>
      <c r="D125" s="84">
        <f>D93</f>
        <v>0</v>
      </c>
    </row>
    <row r="126" spans="1:7">
      <c r="A126" s="24" t="s">
        <v>39</v>
      </c>
      <c r="B126" t="s">
        <v>148</v>
      </c>
      <c r="D126" s="84">
        <f>D101</f>
        <v>0</v>
      </c>
    </row>
    <row r="127" spans="1:7">
      <c r="A127" t="s">
        <v>171</v>
      </c>
      <c r="D127" s="84">
        <f>TRUNC(SUM(D122:D126),2)</f>
        <v>0</v>
      </c>
    </row>
    <row r="128" spans="1:7">
      <c r="A128" s="24" t="s">
        <v>41</v>
      </c>
      <c r="B128" t="s">
        <v>160</v>
      </c>
      <c r="D128" s="84">
        <f>D118</f>
        <v>0</v>
      </c>
    </row>
    <row r="129" spans="1:4">
      <c r="A129" s="125" t="s">
        <v>172</v>
      </c>
      <c r="B129" s="48"/>
      <c r="C129" s="48"/>
      <c r="D129" s="126">
        <f>TRUNC((SUM(D122:D126)+D128),2)</f>
        <v>0</v>
      </c>
    </row>
  </sheetData>
  <mergeCells count="20">
    <mergeCell ref="A1:D1"/>
    <mergeCell ref="F1:G1"/>
    <mergeCell ref="A9:D9"/>
    <mergeCell ref="A19:D19"/>
    <mergeCell ref="A20:D20"/>
    <mergeCell ref="F110:G110"/>
    <mergeCell ref="A120:D120"/>
    <mergeCell ref="A26:B28"/>
    <mergeCell ref="A68:B71"/>
    <mergeCell ref="A103:B108"/>
    <mergeCell ref="A74:D74"/>
    <mergeCell ref="A84:D84"/>
    <mergeCell ref="A89:D89"/>
    <mergeCell ref="A95:D95"/>
    <mergeCell ref="A110:D110"/>
    <mergeCell ref="A30:D30"/>
    <mergeCell ref="A42:D42"/>
    <mergeCell ref="A51:D51"/>
    <mergeCell ref="A58:D58"/>
    <mergeCell ref="A73:D73"/>
  </mergeCells>
  <pageMargins left="0.75" right="0.75" top="1" bottom="1" header="0.5" footer="0.5"/>
  <legacyDrawing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0"/>
  <sheetViews>
    <sheetView showGridLines="0" topLeftCell="D125" zoomScale="85" zoomScaleNormal="85" workbookViewId="0">
      <selection activeCell="D118" sqref="D118"/>
    </sheetView>
  </sheetViews>
  <sheetFormatPr defaultColWidth="9" defaultRowHeight="15" outlineLevelRow="1"/>
  <cols>
    <col min="1" max="1" width="12.42578125" customWidth="1"/>
    <col min="2" max="2" width="76.42578125" customWidth="1"/>
    <col min="3" max="3" width="28.42578125" customWidth="1"/>
    <col min="4" max="4" width="27.42578125" customWidth="1"/>
    <col min="6" max="6" width="32.7109375" customWidth="1"/>
    <col min="7" max="7" width="13" customWidth="1"/>
  </cols>
  <sheetData>
    <row r="1" spans="1:21">
      <c r="A1" s="145" t="s">
        <v>0</v>
      </c>
      <c r="B1" s="145"/>
      <c r="C1" s="145"/>
      <c r="D1" s="145"/>
      <c r="F1" s="144" t="s">
        <v>1</v>
      </c>
      <c r="G1" s="144"/>
      <c r="H1" s="107"/>
      <c r="I1" s="107"/>
      <c r="J1" s="107"/>
      <c r="K1" s="107"/>
      <c r="L1" s="107"/>
      <c r="M1" s="107"/>
      <c r="N1" s="107"/>
      <c r="O1" s="107"/>
      <c r="P1" s="107"/>
      <c r="Q1" s="107"/>
      <c r="R1" s="107"/>
      <c r="S1" s="107"/>
      <c r="T1" s="107"/>
      <c r="U1" s="107"/>
    </row>
    <row r="2" spans="1:21">
      <c r="A2" s="24" t="s">
        <v>2</v>
      </c>
      <c r="B2" t="s">
        <v>3</v>
      </c>
      <c r="C2" s="24" t="s">
        <v>4</v>
      </c>
      <c r="D2" s="24" t="s">
        <v>5</v>
      </c>
      <c r="F2" t="s">
        <v>3</v>
      </c>
      <c r="G2" t="s">
        <v>5</v>
      </c>
      <c r="H2" s="107"/>
      <c r="I2" s="107"/>
      <c r="J2" s="107"/>
      <c r="K2" s="107"/>
      <c r="L2" s="107"/>
      <c r="M2" s="107"/>
      <c r="N2" s="107"/>
      <c r="O2" s="107"/>
      <c r="P2" s="107"/>
      <c r="Q2" s="107"/>
      <c r="R2" s="107"/>
      <c r="S2" s="107"/>
      <c r="T2" s="107"/>
      <c r="U2" s="107"/>
    </row>
    <row r="3" spans="1:21">
      <c r="A3" s="24">
        <v>1</v>
      </c>
      <c r="B3" t="s">
        <v>6</v>
      </c>
      <c r="C3" s="24"/>
      <c r="D3" s="24" t="s">
        <v>7</v>
      </c>
      <c r="F3" t="s">
        <v>8</v>
      </c>
      <c r="G3" s="127">
        <v>3.8</v>
      </c>
      <c r="H3" s="107"/>
      <c r="I3" s="107"/>
      <c r="J3" s="107"/>
      <c r="K3" s="107"/>
      <c r="L3" s="107"/>
      <c r="M3" s="107"/>
      <c r="N3" s="107"/>
      <c r="O3" s="107"/>
      <c r="P3" s="107"/>
      <c r="Q3" s="107"/>
      <c r="R3" s="107"/>
      <c r="S3" s="107"/>
      <c r="T3" s="107"/>
      <c r="U3" s="107"/>
    </row>
    <row r="4" spans="1:21">
      <c r="A4" s="24">
        <v>2</v>
      </c>
      <c r="B4" t="s">
        <v>9</v>
      </c>
      <c r="C4" s="24"/>
      <c r="D4" s="24" t="s">
        <v>10</v>
      </c>
      <c r="F4" t="s">
        <v>11</v>
      </c>
      <c r="G4" s="127">
        <v>14</v>
      </c>
      <c r="H4" s="107"/>
      <c r="I4" s="107"/>
      <c r="J4" s="107"/>
      <c r="K4" s="107"/>
      <c r="L4" s="107"/>
      <c r="M4" s="107"/>
      <c r="N4" s="107"/>
      <c r="O4" s="107"/>
      <c r="P4" s="107"/>
      <c r="Q4" s="107"/>
      <c r="R4" s="107"/>
      <c r="S4" s="107"/>
      <c r="T4" s="107"/>
      <c r="U4" s="107"/>
    </row>
    <row r="5" spans="1:21">
      <c r="A5" s="24">
        <v>3</v>
      </c>
      <c r="B5" t="s">
        <v>12</v>
      </c>
      <c r="C5" s="24" t="s">
        <v>13</v>
      </c>
      <c r="D5" s="128">
        <v>1206.74</v>
      </c>
      <c r="F5" t="s">
        <v>14</v>
      </c>
      <c r="G5" s="94">
        <v>22</v>
      </c>
      <c r="H5" s="107"/>
      <c r="I5" s="107"/>
      <c r="J5" s="107"/>
      <c r="K5" s="107"/>
      <c r="L5" s="107"/>
      <c r="M5" s="107"/>
      <c r="N5" s="107"/>
      <c r="O5" s="107"/>
      <c r="P5" s="107"/>
      <c r="Q5" s="107"/>
      <c r="R5" s="107"/>
      <c r="S5" s="107"/>
      <c r="T5" s="107"/>
      <c r="U5" s="107"/>
    </row>
    <row r="6" spans="1:21">
      <c r="A6" s="24">
        <v>4</v>
      </c>
      <c r="B6" t="s">
        <v>15</v>
      </c>
      <c r="C6" s="24" t="s">
        <v>16</v>
      </c>
      <c r="D6" s="24" t="s">
        <v>175</v>
      </c>
      <c r="F6" t="s">
        <v>18</v>
      </c>
      <c r="G6" s="129">
        <v>0.03</v>
      </c>
      <c r="H6" s="107"/>
      <c r="I6" s="107"/>
      <c r="J6" s="107"/>
      <c r="K6" s="107"/>
      <c r="L6" s="107"/>
      <c r="M6" s="107"/>
      <c r="N6" s="107"/>
      <c r="O6" s="107"/>
      <c r="P6" s="107"/>
      <c r="Q6" s="107"/>
      <c r="R6" s="107"/>
      <c r="S6" s="107"/>
      <c r="T6" s="107"/>
      <c r="U6" s="107"/>
    </row>
    <row r="7" spans="1:21">
      <c r="A7" s="24">
        <v>5</v>
      </c>
      <c r="B7" t="s">
        <v>19</v>
      </c>
      <c r="C7" s="24"/>
      <c r="D7" s="24" t="s">
        <v>20</v>
      </c>
      <c r="H7" s="107"/>
      <c r="I7" s="107"/>
      <c r="J7" s="107"/>
      <c r="K7" s="107"/>
      <c r="L7" s="107"/>
      <c r="M7" s="107"/>
      <c r="N7" s="107"/>
      <c r="O7" s="107"/>
      <c r="P7" s="107"/>
      <c r="Q7" s="107"/>
      <c r="R7" s="107"/>
      <c r="S7" s="107"/>
      <c r="T7" s="107"/>
      <c r="U7" s="107"/>
    </row>
    <row r="8" spans="1:21">
      <c r="F8" s="144" t="s">
        <v>21</v>
      </c>
      <c r="G8" s="144"/>
      <c r="H8" s="107"/>
      <c r="I8" s="107"/>
      <c r="J8" s="107"/>
      <c r="K8" s="107"/>
      <c r="L8" s="107"/>
      <c r="M8" s="107"/>
      <c r="N8" s="107"/>
      <c r="O8" s="107"/>
      <c r="P8" s="107"/>
      <c r="Q8" s="107"/>
      <c r="R8" s="107"/>
      <c r="S8" s="107"/>
      <c r="T8" s="107"/>
      <c r="U8" s="107"/>
    </row>
    <row r="9" spans="1:21">
      <c r="A9" s="140" t="s">
        <v>22</v>
      </c>
      <c r="B9" s="140"/>
      <c r="C9" s="140"/>
      <c r="D9" s="140"/>
      <c r="F9" t="s">
        <v>23</v>
      </c>
      <c r="G9" t="s">
        <v>24</v>
      </c>
      <c r="H9" s="107"/>
      <c r="I9" s="107"/>
      <c r="J9" s="107"/>
      <c r="K9" s="107"/>
      <c r="L9" s="107"/>
      <c r="M9" s="107"/>
      <c r="N9" s="107"/>
      <c r="O9" s="107"/>
      <c r="P9" s="107"/>
      <c r="Q9" s="107"/>
      <c r="R9" s="107"/>
      <c r="S9" s="107"/>
      <c r="T9" s="107"/>
      <c r="U9" s="107"/>
    </row>
    <row r="10" spans="1:21">
      <c r="A10" s="24" t="s">
        <v>25</v>
      </c>
      <c r="B10" t="s">
        <v>26</v>
      </c>
      <c r="C10" s="24" t="s">
        <v>4</v>
      </c>
      <c r="D10" s="24" t="s">
        <v>5</v>
      </c>
      <c r="F10" t="s">
        <v>27</v>
      </c>
      <c r="G10" s="130">
        <v>0.43369999999999997</v>
      </c>
      <c r="H10" s="107"/>
      <c r="I10" s="107"/>
      <c r="J10" s="107"/>
      <c r="K10" s="107"/>
      <c r="L10" s="107"/>
      <c r="M10" s="107"/>
      <c r="N10" s="107"/>
      <c r="O10" s="107"/>
      <c r="P10" s="107"/>
      <c r="Q10" s="107"/>
      <c r="R10" s="107"/>
      <c r="S10" s="107"/>
      <c r="T10" s="107"/>
      <c r="U10" s="107"/>
    </row>
    <row r="11" spans="1:21">
      <c r="A11" s="24" t="s">
        <v>28</v>
      </c>
      <c r="B11" t="s">
        <v>29</v>
      </c>
      <c r="C11" s="24"/>
      <c r="D11" s="84">
        <f>Salário_Normativo_da_Categoria_Profissional</f>
        <v>1206.74</v>
      </c>
      <c r="F11" t="s">
        <v>30</v>
      </c>
      <c r="G11" s="130">
        <v>0.43369999999999997</v>
      </c>
      <c r="H11" s="107"/>
      <c r="I11" s="107"/>
      <c r="J11" s="107"/>
      <c r="K11" s="107"/>
      <c r="L11" s="107"/>
      <c r="M11" s="107"/>
      <c r="N11" s="107"/>
      <c r="O11" s="107"/>
      <c r="P11" s="107"/>
      <c r="Q11" s="107"/>
      <c r="R11" s="107"/>
      <c r="S11" s="107"/>
      <c r="T11" s="107"/>
      <c r="U11" s="107"/>
    </row>
    <row r="12" spans="1:21">
      <c r="A12" s="24" t="s">
        <v>31</v>
      </c>
      <c r="B12" t="s">
        <v>32</v>
      </c>
      <c r="C12" s="24"/>
      <c r="D12" s="84"/>
      <c r="F12" t="s">
        <v>33</v>
      </c>
      <c r="G12" s="130">
        <v>2.18E-2</v>
      </c>
      <c r="H12" s="107"/>
      <c r="I12" s="107"/>
      <c r="J12" s="107"/>
      <c r="K12" s="107"/>
      <c r="L12" s="107"/>
      <c r="M12" s="107"/>
      <c r="N12" s="107"/>
      <c r="O12" s="107"/>
      <c r="P12" s="107"/>
      <c r="Q12" s="107"/>
      <c r="R12" s="107"/>
      <c r="S12" s="107"/>
      <c r="T12" s="107"/>
      <c r="U12" s="107"/>
    </row>
    <row r="13" spans="1:21">
      <c r="A13" s="24" t="s">
        <v>34</v>
      </c>
      <c r="B13" t="s">
        <v>35</v>
      </c>
      <c r="C13" s="24"/>
      <c r="D13" s="84"/>
      <c r="H13" s="107"/>
      <c r="I13" s="107"/>
      <c r="J13" s="107"/>
      <c r="K13" s="107"/>
      <c r="L13" s="107"/>
      <c r="M13" s="107"/>
      <c r="N13" s="107"/>
      <c r="O13" s="107"/>
      <c r="P13" s="107"/>
      <c r="Q13" s="107"/>
      <c r="R13" s="107"/>
      <c r="S13" s="107"/>
      <c r="T13" s="107"/>
      <c r="U13" s="107"/>
    </row>
    <row r="14" spans="1:21">
      <c r="A14" s="24" t="s">
        <v>36</v>
      </c>
      <c r="B14" t="s">
        <v>37</v>
      </c>
      <c r="C14" s="24"/>
      <c r="D14" s="84"/>
      <c r="F14" s="144" t="s">
        <v>38</v>
      </c>
      <c r="G14" s="144"/>
      <c r="H14" s="107"/>
      <c r="I14" s="107"/>
      <c r="J14" s="107"/>
      <c r="K14" s="107"/>
      <c r="L14" s="107"/>
      <c r="M14" s="107"/>
      <c r="N14" s="107"/>
      <c r="O14" s="107"/>
      <c r="P14" s="107"/>
      <c r="Q14" s="107"/>
      <c r="R14" s="107"/>
      <c r="S14" s="107"/>
      <c r="T14" s="107"/>
      <c r="U14" s="107"/>
    </row>
    <row r="15" spans="1:21">
      <c r="A15" s="24" t="s">
        <v>39</v>
      </c>
      <c r="B15" t="s">
        <v>40</v>
      </c>
      <c r="C15" s="24"/>
      <c r="D15" s="84"/>
      <c r="F15" s="107" t="s">
        <v>3</v>
      </c>
      <c r="G15" s="107" t="s">
        <v>24</v>
      </c>
      <c r="H15" s="107"/>
      <c r="I15" s="107"/>
      <c r="J15" s="107"/>
      <c r="K15" s="107"/>
      <c r="L15" s="107"/>
      <c r="M15" s="107"/>
      <c r="N15" s="107"/>
      <c r="O15" s="107"/>
      <c r="P15" s="107"/>
      <c r="Q15" s="107"/>
      <c r="R15" s="107"/>
      <c r="S15" s="107"/>
      <c r="T15" s="107"/>
      <c r="U15" s="107"/>
    </row>
    <row r="16" spans="1:21">
      <c r="A16" s="24" t="s">
        <v>41</v>
      </c>
      <c r="B16" t="s">
        <v>42</v>
      </c>
      <c r="C16" s="24"/>
      <c r="D16" s="84">
        <v>200</v>
      </c>
      <c r="F16" s="107" t="s">
        <v>43</v>
      </c>
      <c r="G16" s="131">
        <v>0.03</v>
      </c>
      <c r="H16" s="107"/>
      <c r="I16" s="107"/>
      <c r="J16" s="107"/>
      <c r="K16" s="107"/>
      <c r="L16" s="107"/>
      <c r="M16" s="107"/>
      <c r="N16" s="107"/>
      <c r="O16" s="107"/>
      <c r="P16" s="107"/>
      <c r="Q16" s="107"/>
      <c r="R16" s="107"/>
      <c r="S16" s="107"/>
      <c r="T16" s="107"/>
      <c r="U16" s="107"/>
    </row>
    <row r="17" spans="1:21">
      <c r="A17" s="24" t="s">
        <v>44</v>
      </c>
      <c r="C17" s="24"/>
      <c r="D17" s="84">
        <f>SUBTOTAL(109,Módulo1379[Valor])</f>
        <v>1406.74</v>
      </c>
      <c r="F17" s="107" t="s">
        <v>45</v>
      </c>
      <c r="G17" s="131">
        <v>6.7900000000000002E-2</v>
      </c>
      <c r="H17" s="107"/>
      <c r="I17" s="107"/>
      <c r="J17" s="107"/>
      <c r="K17" s="107"/>
      <c r="L17" s="107"/>
      <c r="M17" s="107"/>
      <c r="N17" s="107"/>
      <c r="O17" s="107"/>
      <c r="P17" s="107"/>
      <c r="Q17" s="107"/>
      <c r="R17" s="107"/>
      <c r="S17" s="107"/>
      <c r="T17" s="107"/>
      <c r="U17" s="107"/>
    </row>
    <row r="18" spans="1:21">
      <c r="F18" s="107" t="s">
        <v>46</v>
      </c>
      <c r="G18" s="132">
        <v>1.6500000000000001E-2</v>
      </c>
      <c r="H18" s="107"/>
      <c r="I18" s="107"/>
      <c r="J18" s="107"/>
      <c r="K18" s="107"/>
      <c r="L18" s="107"/>
      <c r="M18" s="107"/>
      <c r="N18" s="107"/>
      <c r="O18" s="107"/>
      <c r="P18" s="107"/>
      <c r="Q18" s="107"/>
      <c r="R18" s="107"/>
      <c r="S18" s="107"/>
      <c r="T18" s="107"/>
      <c r="U18" s="107"/>
    </row>
    <row r="19" spans="1:21">
      <c r="A19" s="143" t="s">
        <v>47</v>
      </c>
      <c r="B19" s="143"/>
      <c r="C19" s="143"/>
      <c r="D19" s="143"/>
      <c r="F19" s="107" t="s">
        <v>48</v>
      </c>
      <c r="G19" s="132">
        <v>7.5999999999999998E-2</v>
      </c>
      <c r="H19" s="107"/>
      <c r="I19" s="107"/>
      <c r="J19" s="107"/>
      <c r="K19" s="107"/>
      <c r="L19" s="107"/>
      <c r="M19" s="107"/>
      <c r="N19" s="107"/>
      <c r="O19" s="107"/>
      <c r="P19" s="107"/>
      <c r="Q19" s="107"/>
      <c r="R19" s="107"/>
      <c r="S19" s="107"/>
      <c r="T19" s="107"/>
      <c r="U19" s="107"/>
    </row>
    <row r="20" spans="1:21">
      <c r="A20" s="144" t="s">
        <v>49</v>
      </c>
      <c r="B20" s="144"/>
      <c r="C20" s="144"/>
      <c r="D20" s="144"/>
      <c r="F20" s="107" t="s">
        <v>50</v>
      </c>
      <c r="G20" s="132">
        <v>0.05</v>
      </c>
      <c r="H20" s="107"/>
      <c r="I20" s="107"/>
      <c r="J20" s="107"/>
      <c r="K20" s="107"/>
      <c r="L20" s="107"/>
      <c r="M20" s="107"/>
      <c r="N20" s="107"/>
      <c r="O20" s="107"/>
      <c r="P20" s="107"/>
      <c r="Q20" s="107"/>
      <c r="R20" s="107"/>
      <c r="S20" s="107"/>
      <c r="T20" s="107"/>
      <c r="U20" s="107"/>
    </row>
    <row r="21" spans="1:21">
      <c r="A21" s="24" t="s">
        <v>51</v>
      </c>
      <c r="B21" t="s">
        <v>52</v>
      </c>
      <c r="C21" s="24" t="s">
        <v>4</v>
      </c>
      <c r="D21" s="24" t="s">
        <v>5</v>
      </c>
      <c r="F21" s="107"/>
      <c r="G21" s="107"/>
      <c r="H21" s="107"/>
      <c r="I21" s="107"/>
      <c r="J21" s="107"/>
      <c r="K21" s="107"/>
      <c r="L21" s="107"/>
      <c r="M21" s="107"/>
      <c r="N21" s="107"/>
      <c r="O21" s="107"/>
      <c r="P21" s="107"/>
      <c r="Q21" s="107"/>
      <c r="R21" s="107"/>
      <c r="S21" s="107"/>
      <c r="T21" s="107"/>
      <c r="U21" s="107"/>
    </row>
    <row r="22" spans="1:21">
      <c r="A22" s="24" t="s">
        <v>28</v>
      </c>
      <c r="B22" t="s">
        <v>53</v>
      </c>
      <c r="D22" s="84">
        <f>Módulo1379[[#Totals],[Valor]]/12</f>
        <v>117.22833333333334</v>
      </c>
      <c r="F22" s="144" t="s">
        <v>54</v>
      </c>
      <c r="G22" s="144"/>
      <c r="H22" s="107"/>
      <c r="I22" s="107"/>
      <c r="J22" s="107"/>
      <c r="K22" s="107"/>
      <c r="L22" s="107"/>
      <c r="M22" s="107"/>
      <c r="N22" s="107"/>
      <c r="O22" s="107"/>
      <c r="P22" s="107"/>
      <c r="Q22" s="107"/>
      <c r="R22" s="107"/>
      <c r="S22" s="107"/>
      <c r="T22" s="107"/>
      <c r="U22" s="107"/>
    </row>
    <row r="23" spans="1:21">
      <c r="A23" s="24" t="s">
        <v>31</v>
      </c>
      <c r="B23" t="s">
        <v>55</v>
      </c>
      <c r="D23" s="84">
        <f>(Módulo1379[[#Totals],[Valor]]/12)*(1/3)</f>
        <v>39.076111111111111</v>
      </c>
      <c r="E23" s="104"/>
      <c r="F23" s="24" t="s">
        <v>3</v>
      </c>
      <c r="G23" s="24" t="s">
        <v>5</v>
      </c>
      <c r="H23" s="107"/>
      <c r="I23" s="107"/>
      <c r="J23" s="107"/>
      <c r="K23" s="107"/>
      <c r="L23" s="107"/>
      <c r="M23" s="107"/>
      <c r="N23" s="107"/>
      <c r="O23" s="107"/>
      <c r="P23" s="107"/>
      <c r="Q23" s="107"/>
      <c r="R23" s="107"/>
      <c r="S23" s="107"/>
      <c r="T23" s="107"/>
      <c r="U23" s="107"/>
    </row>
    <row r="24" spans="1:21">
      <c r="A24" s="24" t="s">
        <v>44</v>
      </c>
      <c r="D24" s="84">
        <f>SUBTOTAL(109,Submódulo2.1480[Valor])</f>
        <v>156.30444444444444</v>
      </c>
      <c r="F24" s="107" t="s">
        <v>56</v>
      </c>
      <c r="G24" s="133">
        <f>((D17+D24+(D17/12))*(100%+C41))/30</f>
        <v>76.620438666666658</v>
      </c>
      <c r="H24" s="107"/>
      <c r="I24" s="107"/>
      <c r="J24" s="107"/>
      <c r="K24" s="107"/>
      <c r="L24" s="107"/>
      <c r="M24" s="107"/>
      <c r="N24" s="107"/>
      <c r="O24" s="107"/>
      <c r="P24" s="107"/>
      <c r="Q24" s="107"/>
      <c r="R24" s="107"/>
      <c r="S24" s="107"/>
      <c r="T24" s="107"/>
      <c r="U24" s="107"/>
    </row>
    <row r="25" spans="1:21">
      <c r="A25" s="24"/>
      <c r="D25" s="84"/>
      <c r="F25" s="107" t="s">
        <v>57</v>
      </c>
      <c r="G25" s="133">
        <f>((D17*(1+(1/3))*(100%+C41))/12)/30</f>
        <v>7.1274826666666664</v>
      </c>
      <c r="H25" s="107"/>
      <c r="I25" s="107"/>
      <c r="J25" s="107"/>
      <c r="K25" s="107"/>
      <c r="L25" s="107"/>
      <c r="M25" s="107"/>
      <c r="N25" s="107"/>
      <c r="O25" s="107"/>
      <c r="P25" s="107"/>
      <c r="Q25" s="107"/>
      <c r="R25" s="107"/>
      <c r="S25" s="107"/>
      <c r="T25" s="107"/>
      <c r="U25" s="107"/>
    </row>
    <row r="26" spans="1:21">
      <c r="A26" s="141" t="s">
        <v>58</v>
      </c>
      <c r="B26" s="141"/>
      <c r="C26" s="141"/>
      <c r="D26" s="141"/>
      <c r="F26" s="107"/>
      <c r="G26" s="107"/>
      <c r="H26" s="107"/>
      <c r="I26" s="107"/>
      <c r="J26" s="107"/>
      <c r="K26" s="107"/>
      <c r="L26" s="107"/>
      <c r="M26" s="107"/>
      <c r="N26" s="107"/>
      <c r="O26" s="107"/>
      <c r="P26" s="107"/>
      <c r="Q26" s="107"/>
      <c r="R26" s="107"/>
      <c r="S26" s="107"/>
      <c r="T26" s="107"/>
      <c r="U26" s="107"/>
    </row>
    <row r="27" spans="1:21">
      <c r="A27" s="134" t="s">
        <v>2</v>
      </c>
      <c r="B27" s="134" t="s">
        <v>59</v>
      </c>
      <c r="C27" s="134" t="s">
        <v>60</v>
      </c>
      <c r="D27" s="135" t="s">
        <v>61</v>
      </c>
      <c r="F27" s="107"/>
      <c r="G27" s="107"/>
      <c r="H27" s="107"/>
      <c r="I27" s="107"/>
      <c r="J27" s="107"/>
      <c r="K27" s="107"/>
      <c r="L27" s="107"/>
      <c r="M27" s="107"/>
      <c r="N27" s="107"/>
      <c r="O27" s="107"/>
      <c r="P27" s="107"/>
      <c r="Q27" s="107"/>
      <c r="R27" s="107"/>
      <c r="S27" s="107"/>
      <c r="T27" s="107"/>
      <c r="U27" s="107"/>
    </row>
    <row r="28" spans="1:21" ht="30">
      <c r="A28" s="67" t="s">
        <v>28</v>
      </c>
      <c r="B28" s="136" t="s">
        <v>62</v>
      </c>
      <c r="C28" s="38" t="s">
        <v>63</v>
      </c>
      <c r="D28" s="136" t="s">
        <v>64</v>
      </c>
      <c r="F28" s="107"/>
      <c r="G28" s="107"/>
      <c r="H28" s="107"/>
      <c r="I28" s="107"/>
      <c r="J28" s="107"/>
      <c r="K28" s="107"/>
      <c r="L28" s="107"/>
      <c r="M28" s="107"/>
      <c r="N28" s="107"/>
      <c r="O28" s="107"/>
      <c r="P28" s="107"/>
      <c r="Q28" s="107"/>
      <c r="R28" s="107"/>
      <c r="S28" s="107"/>
      <c r="T28" s="107"/>
      <c r="U28" s="107"/>
    </row>
    <row r="29" spans="1:21">
      <c r="A29" s="67" t="s">
        <v>31</v>
      </c>
      <c r="B29" s="137" t="s">
        <v>55</v>
      </c>
      <c r="C29" s="38" t="s">
        <v>63</v>
      </c>
      <c r="D29" s="136" t="s">
        <v>65</v>
      </c>
      <c r="F29" s="107"/>
      <c r="G29" s="107"/>
      <c r="H29" s="107"/>
      <c r="I29" s="107"/>
      <c r="J29" s="107"/>
      <c r="K29" s="107"/>
      <c r="L29" s="107"/>
      <c r="M29" s="107"/>
      <c r="N29" s="107"/>
      <c r="O29" s="107"/>
      <c r="P29" s="107"/>
      <c r="Q29" s="107"/>
      <c r="R29" s="107"/>
      <c r="S29" s="107"/>
      <c r="T29" s="107"/>
      <c r="U29" s="107"/>
    </row>
    <row r="30" spans="1:21">
      <c r="A30" s="24"/>
      <c r="B30" s="24"/>
      <c r="C30" s="110"/>
      <c r="F30" s="107"/>
      <c r="G30" s="107"/>
      <c r="H30" s="107"/>
      <c r="I30" s="107"/>
      <c r="J30" s="107"/>
      <c r="K30" s="107"/>
      <c r="L30" s="107"/>
      <c r="M30" s="107"/>
      <c r="N30" s="107"/>
      <c r="O30" s="107"/>
      <c r="P30" s="107"/>
      <c r="Q30" s="107"/>
      <c r="R30" s="107"/>
      <c r="S30" s="107"/>
      <c r="T30" s="107"/>
      <c r="U30" s="107"/>
    </row>
    <row r="31" spans="1:21">
      <c r="A31" s="144" t="s">
        <v>66</v>
      </c>
      <c r="B31" s="144"/>
      <c r="C31" s="144"/>
      <c r="D31" s="144"/>
    </row>
    <row r="32" spans="1:21">
      <c r="A32" s="24" t="s">
        <v>67</v>
      </c>
      <c r="B32" t="s">
        <v>68</v>
      </c>
      <c r="C32" s="24" t="s">
        <v>24</v>
      </c>
      <c r="D32" s="24" t="s">
        <v>69</v>
      </c>
    </row>
    <row r="33" spans="1:4">
      <c r="A33" s="24" t="s">
        <v>28</v>
      </c>
      <c r="B33" t="s">
        <v>70</v>
      </c>
      <c r="C33" s="111">
        <v>0.2</v>
      </c>
      <c r="D33" s="84">
        <f>C33*(Módulo1379[[#Totals],[Valor]]+Submódulo2.1480[[#Totals],[Valor]])</f>
        <v>312.60888888888894</v>
      </c>
    </row>
    <row r="34" spans="1:4">
      <c r="A34" s="24" t="s">
        <v>31</v>
      </c>
      <c r="B34" t="s">
        <v>71</v>
      </c>
      <c r="C34" s="111">
        <v>2.5000000000000001E-2</v>
      </c>
      <c r="D34" s="84">
        <f>C34*(Módulo1379[[#Totals],[Valor]]+Submódulo2.1480[[#Totals],[Valor]])</f>
        <v>39.076111111111118</v>
      </c>
    </row>
    <row r="35" spans="1:4">
      <c r="A35" s="24" t="s">
        <v>34</v>
      </c>
      <c r="B35" t="s">
        <v>72</v>
      </c>
      <c r="C35" s="111">
        <f>Encarregado!G6</f>
        <v>0.03</v>
      </c>
      <c r="D35" s="84">
        <f>C35*(Módulo1379[[#Totals],[Valor]]+Submódulo2.1480[[#Totals],[Valor]])</f>
        <v>46.891333333333336</v>
      </c>
    </row>
    <row r="36" spans="1:4">
      <c r="A36" s="24" t="s">
        <v>36</v>
      </c>
      <c r="B36" t="s">
        <v>73</v>
      </c>
      <c r="C36" s="111">
        <v>1.4999999999999999E-2</v>
      </c>
      <c r="D36" s="84">
        <f>C36*(Módulo1379[[#Totals],[Valor]]+Submódulo2.1480[[#Totals],[Valor]])</f>
        <v>23.445666666666668</v>
      </c>
    </row>
    <row r="37" spans="1:4">
      <c r="A37" s="24" t="s">
        <v>39</v>
      </c>
      <c r="B37" t="s">
        <v>74</v>
      </c>
      <c r="C37" s="111">
        <v>0.01</v>
      </c>
      <c r="D37" s="84">
        <f>C37*(Módulo1379[[#Totals],[Valor]]+Submódulo2.1480[[#Totals],[Valor]])</f>
        <v>15.630444444444445</v>
      </c>
    </row>
    <row r="38" spans="1:4">
      <c r="A38" s="24" t="s">
        <v>41</v>
      </c>
      <c r="B38" t="s">
        <v>75</v>
      </c>
      <c r="C38" s="111">
        <v>6.0000000000000001E-3</v>
      </c>
      <c r="D38" s="84">
        <f>C38*(Módulo1379[[#Totals],[Valor]]+Submódulo2.1480[[#Totals],[Valor]])</f>
        <v>9.3782666666666668</v>
      </c>
    </row>
    <row r="39" spans="1:4">
      <c r="A39" s="24" t="s">
        <v>76</v>
      </c>
      <c r="B39" t="s">
        <v>77</v>
      </c>
      <c r="C39" s="111">
        <v>2E-3</v>
      </c>
      <c r="D39" s="84">
        <f>C39*(Módulo1379[[#Totals],[Valor]]+Submódulo2.1480[[#Totals],[Valor]])</f>
        <v>3.1260888888888889</v>
      </c>
    </row>
    <row r="40" spans="1:4">
      <c r="A40" s="24" t="s">
        <v>78</v>
      </c>
      <c r="B40" t="s">
        <v>79</v>
      </c>
      <c r="C40" s="111">
        <v>0.08</v>
      </c>
      <c r="D40" s="84">
        <f>C40*(Módulo1379[[#Totals],[Valor]]+Submódulo2.1480[[#Totals],[Valor]])</f>
        <v>125.04355555555556</v>
      </c>
    </row>
    <row r="41" spans="1:4">
      <c r="A41" s="24" t="s">
        <v>44</v>
      </c>
      <c r="C41" s="114">
        <f>SUBTOTAL(109,Submódulo2.2681[Percentual])</f>
        <v>0.36800000000000005</v>
      </c>
      <c r="D41" s="84">
        <f>SUBTOTAL(109,Submódulo2.2681[[Valor ]])</f>
        <v>575.20035555555569</v>
      </c>
    </row>
    <row r="42" spans="1:4">
      <c r="A42" s="24"/>
      <c r="C42" s="114"/>
      <c r="D42" s="84"/>
    </row>
    <row r="43" spans="1:4">
      <c r="A43" s="141" t="s">
        <v>80</v>
      </c>
      <c r="B43" s="141"/>
      <c r="C43" s="141"/>
      <c r="D43" s="141"/>
    </row>
    <row r="44" spans="1:4">
      <c r="A44" s="134" t="s">
        <v>2</v>
      </c>
      <c r="B44" s="134" t="s">
        <v>59</v>
      </c>
      <c r="C44" s="134" t="s">
        <v>60</v>
      </c>
      <c r="D44" s="135" t="s">
        <v>61</v>
      </c>
    </row>
    <row r="45" spans="1:4" ht="30">
      <c r="A45" s="67" t="s">
        <v>81</v>
      </c>
      <c r="B45" s="136" t="s">
        <v>68</v>
      </c>
      <c r="C45" s="136" t="s">
        <v>82</v>
      </c>
      <c r="D45" s="136" t="s">
        <v>83</v>
      </c>
    </row>
    <row r="47" spans="1:4">
      <c r="A47" s="144" t="s">
        <v>84</v>
      </c>
      <c r="B47" s="144"/>
      <c r="C47" s="144"/>
      <c r="D47" s="144"/>
    </row>
    <row r="48" spans="1:4">
      <c r="A48" s="24" t="s">
        <v>85</v>
      </c>
      <c r="B48" t="s">
        <v>86</v>
      </c>
      <c r="C48" s="24" t="s">
        <v>4</v>
      </c>
      <c r="D48" s="24" t="s">
        <v>5</v>
      </c>
    </row>
    <row r="49" spans="1:4">
      <c r="A49" s="24" t="s">
        <v>28</v>
      </c>
      <c r="B49" t="s">
        <v>87</v>
      </c>
      <c r="D49" s="84">
        <f>IF(G3=0,0,(Encarregado!G3*2*Encarregado!G5)-(6%*_1A))</f>
        <v>94.795599999999993</v>
      </c>
    </row>
    <row r="50" spans="1:4">
      <c r="A50" s="24" t="s">
        <v>31</v>
      </c>
      <c r="B50" t="s">
        <v>88</v>
      </c>
      <c r="D50" s="84">
        <f>(Encarregado!G4*Encarregado!G5)*80%</f>
        <v>246.4</v>
      </c>
    </row>
    <row r="51" spans="1:4">
      <c r="A51" s="24" t="s">
        <v>34</v>
      </c>
      <c r="B51" t="s">
        <v>89</v>
      </c>
      <c r="D51" s="84"/>
    </row>
    <row r="52" spans="1:4">
      <c r="A52" s="24" t="s">
        <v>36</v>
      </c>
      <c r="B52" t="s">
        <v>90</v>
      </c>
      <c r="C52" t="s">
        <v>91</v>
      </c>
      <c r="D52" s="84">
        <v>4</v>
      </c>
    </row>
    <row r="53" spans="1:4">
      <c r="A53" s="24" t="s">
        <v>39</v>
      </c>
      <c r="B53" t="s">
        <v>92</v>
      </c>
      <c r="C53" t="s">
        <v>93</v>
      </c>
      <c r="D53" s="84">
        <v>15</v>
      </c>
    </row>
    <row r="54" spans="1:4">
      <c r="A54" s="24" t="s">
        <v>44</v>
      </c>
      <c r="D54" s="84">
        <f>SUBTOTAL(109,Submódulo2.3882[Valor])</f>
        <v>360.19560000000001</v>
      </c>
    </row>
    <row r="55" spans="1:4">
      <c r="A55" s="24"/>
      <c r="D55" s="84"/>
    </row>
    <row r="56" spans="1:4">
      <c r="A56" s="141" t="s">
        <v>94</v>
      </c>
      <c r="B56" s="141"/>
      <c r="C56" s="141"/>
      <c r="D56" s="141"/>
    </row>
    <row r="57" spans="1:4">
      <c r="A57" s="134" t="s">
        <v>2</v>
      </c>
      <c r="B57" s="134" t="s">
        <v>59</v>
      </c>
      <c r="C57" s="134" t="s">
        <v>60</v>
      </c>
      <c r="D57" s="134" t="s">
        <v>61</v>
      </c>
    </row>
    <row r="58" spans="1:4" ht="45">
      <c r="A58" s="67" t="s">
        <v>28</v>
      </c>
      <c r="B58" s="136" t="s">
        <v>87</v>
      </c>
      <c r="C58" s="38" t="s">
        <v>95</v>
      </c>
      <c r="D58" s="38" t="s">
        <v>96</v>
      </c>
    </row>
    <row r="59" spans="1:4" ht="30">
      <c r="A59" s="67" t="s">
        <v>31</v>
      </c>
      <c r="B59" s="137" t="s">
        <v>88</v>
      </c>
      <c r="C59" s="38" t="s">
        <v>95</v>
      </c>
      <c r="D59" s="38" t="s">
        <v>97</v>
      </c>
    </row>
    <row r="60" spans="1:4" ht="19.5" customHeight="1">
      <c r="A60" s="24"/>
      <c r="D60" s="84"/>
    </row>
    <row r="61" spans="1:4">
      <c r="A61" s="144" t="s">
        <v>98</v>
      </c>
      <c r="B61" s="144"/>
      <c r="C61" s="144"/>
      <c r="D61" s="144"/>
    </row>
    <row r="62" spans="1:4">
      <c r="A62" s="24" t="s">
        <v>99</v>
      </c>
      <c r="B62" t="s">
        <v>100</v>
      </c>
      <c r="C62" s="24" t="s">
        <v>4</v>
      </c>
      <c r="D62" s="24" t="s">
        <v>5</v>
      </c>
    </row>
    <row r="63" spans="1:4">
      <c r="A63" s="24" t="s">
        <v>51</v>
      </c>
      <c r="B63" t="s">
        <v>52</v>
      </c>
      <c r="C63" s="24"/>
      <c r="D63" s="84">
        <f>Submódulo2.1480[[#Totals],[Valor]]</f>
        <v>156.30444444444444</v>
      </c>
    </row>
    <row r="64" spans="1:4">
      <c r="A64" s="24" t="s">
        <v>67</v>
      </c>
      <c r="B64" t="s">
        <v>68</v>
      </c>
      <c r="C64" s="24"/>
      <c r="D64" s="84">
        <f>Submódulo2.2681[[#Totals],[Valor ]]</f>
        <v>575.20035555555569</v>
      </c>
    </row>
    <row r="65" spans="1:4">
      <c r="A65" s="24" t="s">
        <v>85</v>
      </c>
      <c r="B65" t="s">
        <v>86</v>
      </c>
      <c r="C65" s="24"/>
      <c r="D65" s="84">
        <f>Submódulo2.3882[[#Totals],[Valor]]</f>
        <v>360.19560000000001</v>
      </c>
    </row>
    <row r="66" spans="1:4">
      <c r="A66" s="24" t="s">
        <v>44</v>
      </c>
      <c r="C66" s="24"/>
      <c r="D66" s="84">
        <f>SUBTOTAL(109,ResumoMódulo2983[Valor])</f>
        <v>1091.7004000000002</v>
      </c>
    </row>
    <row r="68" spans="1:4">
      <c r="A68" s="140" t="s">
        <v>101</v>
      </c>
      <c r="B68" s="140"/>
      <c r="C68" s="140"/>
      <c r="D68" s="140"/>
    </row>
    <row r="69" spans="1:4">
      <c r="A69" s="24" t="s">
        <v>102</v>
      </c>
      <c r="B69" t="s">
        <v>103</v>
      </c>
      <c r="C69" s="24" t="s">
        <v>4</v>
      </c>
      <c r="D69" s="24" t="s">
        <v>5</v>
      </c>
    </row>
    <row r="70" spans="1:4">
      <c r="A70" s="24" t="s">
        <v>28</v>
      </c>
      <c r="B70" t="s">
        <v>104</v>
      </c>
      <c r="D70" s="84">
        <f>((Módulo1379[[#Totals],[Valor]]+D63+D65)/12)*G10</f>
        <v>69.5091006062963</v>
      </c>
    </row>
    <row r="71" spans="1:4">
      <c r="A71" s="24" t="s">
        <v>31</v>
      </c>
      <c r="B71" t="s">
        <v>105</v>
      </c>
      <c r="D71" s="84">
        <f>(D40/12)*Encarregado!G10</f>
        <v>4.5192825037037032</v>
      </c>
    </row>
    <row r="72" spans="1:4">
      <c r="A72" s="24" t="s">
        <v>34</v>
      </c>
      <c r="B72" t="s">
        <v>106</v>
      </c>
      <c r="D72" s="84">
        <f>D40*50%*Encarregado!G10</f>
        <v>27.115695022222219</v>
      </c>
    </row>
    <row r="73" spans="1:4">
      <c r="A73" s="24" t="s">
        <v>36</v>
      </c>
      <c r="B73" t="s">
        <v>107</v>
      </c>
      <c r="D73" s="84">
        <f>((Módulo1379[[#Totals],[Valor]]+ResumoMódulo2983[[#Totals],[Valor]])/12)*G11</f>
        <v>90.297800123333346</v>
      </c>
    </row>
    <row r="74" spans="1:4">
      <c r="A74" s="24" t="s">
        <v>39</v>
      </c>
      <c r="B74" t="s">
        <v>108</v>
      </c>
      <c r="D74" s="84">
        <f>D40*50%*Encarregado!G11</f>
        <v>27.115695022222219</v>
      </c>
    </row>
    <row r="75" spans="1:4">
      <c r="A75" s="24" t="s">
        <v>41</v>
      </c>
      <c r="B75" t="s">
        <v>109</v>
      </c>
      <c r="D75" s="84">
        <f>-D63*Encarregado!G12</f>
        <v>-3.4074368888888888</v>
      </c>
    </row>
    <row r="76" spans="1:4">
      <c r="A76" s="24" t="s">
        <v>44</v>
      </c>
      <c r="D76" s="84">
        <f>SUBTOTAL(109,Módulo32484[Valor])</f>
        <v>215.15013638888891</v>
      </c>
    </row>
    <row r="77" spans="1:4">
      <c r="A77" s="24"/>
      <c r="D77" s="84"/>
    </row>
    <row r="78" spans="1:4">
      <c r="A78" s="141" t="s">
        <v>110</v>
      </c>
      <c r="B78" s="141"/>
      <c r="C78" s="141"/>
      <c r="D78" s="141"/>
    </row>
    <row r="79" spans="1:4">
      <c r="A79" s="134" t="s">
        <v>2</v>
      </c>
      <c r="B79" s="134" t="s">
        <v>59</v>
      </c>
      <c r="C79" s="134" t="s">
        <v>60</v>
      </c>
      <c r="D79" s="134" t="s">
        <v>61</v>
      </c>
    </row>
    <row r="80" spans="1:4" ht="60">
      <c r="A80" s="67" t="s">
        <v>28</v>
      </c>
      <c r="B80" s="136" t="s">
        <v>104</v>
      </c>
      <c r="C80" s="38" t="s">
        <v>111</v>
      </c>
      <c r="D80" s="38" t="s">
        <v>112</v>
      </c>
    </row>
    <row r="81" spans="1:5" ht="60">
      <c r="A81" s="67" t="s">
        <v>31</v>
      </c>
      <c r="B81" s="137" t="s">
        <v>105</v>
      </c>
      <c r="C81" s="38" t="s">
        <v>113</v>
      </c>
      <c r="D81" s="38" t="s">
        <v>112</v>
      </c>
    </row>
    <row r="82" spans="1:5" ht="75">
      <c r="A82" s="67" t="s">
        <v>34</v>
      </c>
      <c r="B82" s="137" t="s">
        <v>106</v>
      </c>
      <c r="C82" s="38" t="s">
        <v>113</v>
      </c>
      <c r="D82" s="82" t="s">
        <v>114</v>
      </c>
    </row>
    <row r="83" spans="1:5" ht="60">
      <c r="A83" s="67" t="s">
        <v>36</v>
      </c>
      <c r="B83" s="138" t="s">
        <v>107</v>
      </c>
      <c r="C83" s="38" t="s">
        <v>115</v>
      </c>
      <c r="D83" s="82" t="s">
        <v>116</v>
      </c>
    </row>
    <row r="84" spans="1:5" ht="75">
      <c r="A84" s="67" t="s">
        <v>39</v>
      </c>
      <c r="B84" s="138" t="s">
        <v>108</v>
      </c>
      <c r="C84" s="38" t="s">
        <v>113</v>
      </c>
      <c r="D84" s="82" t="s">
        <v>117</v>
      </c>
    </row>
    <row r="85" spans="1:5" ht="60">
      <c r="A85" s="67" t="s">
        <v>41</v>
      </c>
      <c r="B85" s="138" t="s">
        <v>109</v>
      </c>
      <c r="C85" s="38" t="s">
        <v>118</v>
      </c>
      <c r="D85" s="82" t="s">
        <v>119</v>
      </c>
    </row>
    <row r="87" spans="1:5">
      <c r="A87" s="142" t="s">
        <v>120</v>
      </c>
      <c r="B87" s="143"/>
      <c r="C87" s="143"/>
      <c r="D87" s="143"/>
    </row>
    <row r="88" spans="1:5">
      <c r="A88" s="139" t="s">
        <v>121</v>
      </c>
      <c r="B88" s="139"/>
      <c r="C88" s="139"/>
      <c r="D88" s="139"/>
    </row>
    <row r="89" spans="1:5">
      <c r="A89" s="24" t="s">
        <v>122</v>
      </c>
      <c r="B89" t="s">
        <v>123</v>
      </c>
      <c r="C89" s="24" t="s">
        <v>124</v>
      </c>
      <c r="D89" s="24" t="s">
        <v>5</v>
      </c>
    </row>
    <row r="90" spans="1:5">
      <c r="A90" s="24" t="s">
        <v>28</v>
      </c>
      <c r="B90" t="s">
        <v>125</v>
      </c>
      <c r="C90" s="24">
        <v>30</v>
      </c>
      <c r="D90" s="84">
        <f t="shared" ref="D90:D95" si="0">(C90*G$24)/12</f>
        <v>191.55109666666667</v>
      </c>
      <c r="E90" s="104"/>
    </row>
    <row r="91" spans="1:5">
      <c r="A91" s="24" t="s">
        <v>31</v>
      </c>
      <c r="B91" t="s">
        <v>126</v>
      </c>
      <c r="C91" s="24">
        <v>1.4180999999999999</v>
      </c>
      <c r="D91" s="84">
        <f t="shared" si="0"/>
        <v>9.0546203394333329</v>
      </c>
      <c r="E91" s="104"/>
    </row>
    <row r="92" spans="1:5">
      <c r="A92" s="24" t="s">
        <v>34</v>
      </c>
      <c r="B92" t="s">
        <v>127</v>
      </c>
      <c r="C92" s="24">
        <v>0.1898</v>
      </c>
      <c r="D92" s="84">
        <f t="shared" si="0"/>
        <v>1.2118799382444443</v>
      </c>
      <c r="E92" s="104"/>
    </row>
    <row r="93" spans="1:5">
      <c r="A93" s="24" t="s">
        <v>36</v>
      </c>
      <c r="B93" t="s">
        <v>128</v>
      </c>
      <c r="C93" s="24">
        <v>0.95450000000000002</v>
      </c>
      <c r="D93" s="84">
        <f t="shared" si="0"/>
        <v>6.0945173922777771</v>
      </c>
      <c r="E93" s="104"/>
    </row>
    <row r="94" spans="1:5">
      <c r="A94" s="24" t="s">
        <v>39</v>
      </c>
      <c r="B94" t="s">
        <v>129</v>
      </c>
      <c r="C94" s="24">
        <v>2.4723000000000002</v>
      </c>
      <c r="D94" s="84">
        <f>(C94*G$25)/12</f>
        <v>1.4684396164000002</v>
      </c>
      <c r="E94" s="104"/>
    </row>
    <row r="95" spans="1:5">
      <c r="A95" s="24" t="s">
        <v>41</v>
      </c>
      <c r="B95" t="s">
        <v>130</v>
      </c>
      <c r="C95" s="24">
        <v>3.4521000000000002</v>
      </c>
      <c r="D95" s="84">
        <f t="shared" si="0"/>
        <v>22.041784693433332</v>
      </c>
      <c r="E95" s="104"/>
    </row>
    <row r="96" spans="1:5">
      <c r="A96" s="24" t="s">
        <v>44</v>
      </c>
      <c r="C96" s="24">
        <f>SUBTOTAL(109,Submódulo4.12585[Dias de ausência])</f>
        <v>38.486800000000002</v>
      </c>
      <c r="D96" s="84">
        <f>SUBTOTAL(109,Submódulo4.12585[Valor])</f>
        <v>231.42233864645553</v>
      </c>
    </row>
    <row r="97" spans="1:4">
      <c r="A97" s="24"/>
      <c r="C97" s="24"/>
      <c r="D97" s="84"/>
    </row>
    <row r="98" spans="1:4">
      <c r="A98" s="141" t="s">
        <v>131</v>
      </c>
      <c r="B98" s="141"/>
      <c r="C98" s="141"/>
      <c r="D98" s="141"/>
    </row>
    <row r="99" spans="1:4">
      <c r="A99" s="134" t="s">
        <v>2</v>
      </c>
      <c r="B99" s="134" t="s">
        <v>59</v>
      </c>
      <c r="C99" s="134" t="s">
        <v>60</v>
      </c>
      <c r="D99" s="134" t="s">
        <v>61</v>
      </c>
    </row>
    <row r="100" spans="1:4">
      <c r="A100" s="67" t="s">
        <v>132</v>
      </c>
      <c r="B100" s="136" t="s">
        <v>133</v>
      </c>
      <c r="C100" s="38"/>
      <c r="D100" s="38"/>
    </row>
    <row r="101" spans="1:4" ht="60">
      <c r="A101" s="67" t="s">
        <v>134</v>
      </c>
      <c r="B101" s="137" t="s">
        <v>135</v>
      </c>
      <c r="C101" s="38" t="s">
        <v>136</v>
      </c>
      <c r="D101" s="38" t="s">
        <v>137</v>
      </c>
    </row>
    <row r="102" spans="1:4" ht="60">
      <c r="A102" s="67" t="s">
        <v>39</v>
      </c>
      <c r="B102" s="137" t="s">
        <v>138</v>
      </c>
      <c r="C102" s="38" t="s">
        <v>139</v>
      </c>
      <c r="D102" s="38" t="s">
        <v>137</v>
      </c>
    </row>
    <row r="103" spans="1:4">
      <c r="A103" s="24"/>
      <c r="C103" s="24"/>
      <c r="D103" s="84"/>
    </row>
    <row r="104" spans="1:4">
      <c r="A104" s="144" t="s">
        <v>140</v>
      </c>
      <c r="B104" s="144"/>
      <c r="C104" s="144"/>
      <c r="D104" s="144"/>
    </row>
    <row r="105" spans="1:4">
      <c r="A105" s="24" t="s">
        <v>141</v>
      </c>
      <c r="B105" t="s">
        <v>142</v>
      </c>
      <c r="C105" s="24" t="s">
        <v>4</v>
      </c>
      <c r="D105" s="24" t="s">
        <v>5</v>
      </c>
    </row>
    <row r="106" spans="1:4">
      <c r="A106" s="24" t="s">
        <v>28</v>
      </c>
      <c r="B106" t="s">
        <v>143</v>
      </c>
      <c r="C106" s="24"/>
      <c r="D106" s="84"/>
    </row>
    <row r="107" spans="1:4">
      <c r="A107" s="24" t="s">
        <v>44</v>
      </c>
      <c r="C107" s="24"/>
      <c r="D107" s="84">
        <f>SUBTOTAL(109,Submódulo4.22686[Valor])</f>
        <v>0</v>
      </c>
    </row>
    <row r="109" spans="1:4">
      <c r="A109" s="139" t="s">
        <v>144</v>
      </c>
      <c r="B109" s="139"/>
      <c r="C109" s="139"/>
      <c r="D109" s="139"/>
    </row>
    <row r="110" spans="1:4">
      <c r="A110" s="24" t="s">
        <v>145</v>
      </c>
      <c r="B110" t="s">
        <v>146</v>
      </c>
      <c r="C110" s="24" t="s">
        <v>4</v>
      </c>
      <c r="D110" s="24" t="s">
        <v>5</v>
      </c>
    </row>
    <row r="111" spans="1:4">
      <c r="A111" s="24" t="s">
        <v>122</v>
      </c>
      <c r="B111" t="s">
        <v>123</v>
      </c>
      <c r="D111" s="84">
        <f>Submódulo4.12585[[#Totals],[Valor]]</f>
        <v>231.42233864645553</v>
      </c>
    </row>
    <row r="112" spans="1:4">
      <c r="A112" s="24" t="s">
        <v>141</v>
      </c>
      <c r="B112" t="s">
        <v>147</v>
      </c>
      <c r="D112" s="84">
        <f>Submódulo4.22686[[#Totals],[Valor]]</f>
        <v>0</v>
      </c>
    </row>
    <row r="113" spans="1:4">
      <c r="A113" s="24" t="s">
        <v>44</v>
      </c>
      <c r="D113" s="84">
        <f>SUBTOTAL(109,ResumoMódulo42787[Valor])</f>
        <v>231.42233864645553</v>
      </c>
    </row>
    <row r="115" spans="1:4">
      <c r="A115" s="140" t="s">
        <v>148</v>
      </c>
      <c r="B115" s="140"/>
      <c r="C115" s="140"/>
      <c r="D115" s="140"/>
    </row>
    <row r="116" spans="1:4">
      <c r="A116" s="24" t="s">
        <v>149</v>
      </c>
      <c r="B116" t="s">
        <v>150</v>
      </c>
      <c r="C116" s="24" t="s">
        <v>4</v>
      </c>
      <c r="D116" s="24" t="s">
        <v>5</v>
      </c>
    </row>
    <row r="117" spans="1:4">
      <c r="A117" s="24" t="s">
        <v>28</v>
      </c>
      <c r="B117" t="s">
        <v>151</v>
      </c>
      <c r="D117" s="84">
        <f>Table4344[[#Totals],[Valor Mensal/ Empregado]]</f>
        <v>0</v>
      </c>
    </row>
    <row r="118" spans="1:4">
      <c r="A118" s="24" t="s">
        <v>31</v>
      </c>
      <c r="B118" t="s">
        <v>152</v>
      </c>
      <c r="D118" s="84"/>
    </row>
    <row r="119" spans="1:4">
      <c r="A119" s="24" t="s">
        <v>34</v>
      </c>
      <c r="B119" t="s">
        <v>153</v>
      </c>
      <c r="D119" s="84"/>
    </row>
    <row r="120" spans="1:4">
      <c r="A120" s="24" t="s">
        <v>36</v>
      </c>
      <c r="B120" t="s">
        <v>154</v>
      </c>
      <c r="D120" s="84"/>
    </row>
    <row r="121" spans="1:4">
      <c r="A121" s="24" t="s">
        <v>44</v>
      </c>
      <c r="D121" s="84">
        <f>SUBTOTAL(109,Módulo52888[Valor])</f>
        <v>0</v>
      </c>
    </row>
    <row r="122" spans="1:4">
      <c r="A122" s="24"/>
      <c r="D122" s="84"/>
    </row>
    <row r="123" spans="1:4">
      <c r="A123" s="141" t="s">
        <v>155</v>
      </c>
      <c r="B123" s="141"/>
      <c r="C123" s="141"/>
      <c r="D123" s="141"/>
    </row>
    <row r="124" spans="1:4">
      <c r="A124" s="134" t="s">
        <v>2</v>
      </c>
      <c r="B124" s="134" t="s">
        <v>59</v>
      </c>
      <c r="C124" s="134" t="s">
        <v>60</v>
      </c>
      <c r="D124" s="134" t="s">
        <v>61</v>
      </c>
    </row>
    <row r="125" spans="1:4">
      <c r="A125" s="67" t="s">
        <v>28</v>
      </c>
      <c r="B125" s="136" t="s">
        <v>151</v>
      </c>
      <c r="C125" s="38" t="s">
        <v>156</v>
      </c>
      <c r="D125" s="38"/>
    </row>
    <row r="126" spans="1:4" ht="30">
      <c r="A126" s="67" t="s">
        <v>31</v>
      </c>
      <c r="B126" s="137" t="s">
        <v>152</v>
      </c>
      <c r="C126" s="38" t="s">
        <v>157</v>
      </c>
      <c r="D126" s="38" t="s">
        <v>158</v>
      </c>
    </row>
    <row r="127" spans="1:4" ht="30">
      <c r="A127" s="67" t="s">
        <v>34</v>
      </c>
      <c r="B127" s="137" t="s">
        <v>153</v>
      </c>
      <c r="C127" s="38" t="s">
        <v>159</v>
      </c>
      <c r="D127" s="38" t="s">
        <v>158</v>
      </c>
    </row>
    <row r="128" spans="1:4">
      <c r="A128" s="67" t="s">
        <v>36</v>
      </c>
      <c r="B128" s="137" t="s">
        <v>154</v>
      </c>
      <c r="C128" s="38"/>
      <c r="D128" s="38"/>
    </row>
    <row r="130" spans="1:4">
      <c r="A130" s="140" t="s">
        <v>160</v>
      </c>
      <c r="B130" s="140"/>
      <c r="C130" s="140"/>
      <c r="D130" s="140"/>
    </row>
    <row r="131" spans="1:4" outlineLevel="1">
      <c r="A131" s="24" t="s">
        <v>161</v>
      </c>
      <c r="B131" t="s">
        <v>162</v>
      </c>
      <c r="C131" s="24" t="s">
        <v>24</v>
      </c>
      <c r="D131" s="24" t="s">
        <v>5</v>
      </c>
    </row>
    <row r="132" spans="1:4" outlineLevel="1">
      <c r="A132" s="24" t="s">
        <v>28</v>
      </c>
      <c r="B132" t="s">
        <v>163</v>
      </c>
      <c r="C132" s="111">
        <f>G16</f>
        <v>0.03</v>
      </c>
      <c r="D132" s="84">
        <f>Módulo62989[[#This Row],[Percentual]]*(D143+D144+D145+D146+D147)</f>
        <v>88.350386251060343</v>
      </c>
    </row>
    <row r="133" spans="1:4" outlineLevel="1">
      <c r="A133" s="24" t="s">
        <v>31</v>
      </c>
      <c r="B133" t="s">
        <v>45</v>
      </c>
      <c r="C133" s="111">
        <f>G17</f>
        <v>6.7900000000000002E-2</v>
      </c>
      <c r="D133" s="84">
        <f>(SUM(D143:D147)+D132)*Módulo62989[[#This Row],[Percentual]]</f>
        <v>205.9653654413469</v>
      </c>
    </row>
    <row r="134" spans="1:4">
      <c r="A134" s="24" t="s">
        <v>34</v>
      </c>
      <c r="B134" t="s">
        <v>164</v>
      </c>
      <c r="C134" s="111">
        <f>SUM(C135:C137)</f>
        <v>0.14250000000000002</v>
      </c>
      <c r="D134" s="84">
        <f>Módulo62989[[#This Row],[Percentual]]*D150</f>
        <v>538.31408665738161</v>
      </c>
    </row>
    <row r="135" spans="1:4">
      <c r="A135" s="24" t="s">
        <v>165</v>
      </c>
      <c r="B135" t="s">
        <v>46</v>
      </c>
      <c r="C135" s="111">
        <f>G18</f>
        <v>1.6500000000000001E-2</v>
      </c>
      <c r="D135" s="84">
        <f>Módulo62989[[#This Row],[Percentual]]*D150</f>
        <v>62.331104770854708</v>
      </c>
    </row>
    <row r="136" spans="1:4">
      <c r="A136" s="24" t="s">
        <v>166</v>
      </c>
      <c r="B136" t="s">
        <v>48</v>
      </c>
      <c r="C136" s="111">
        <f>G19</f>
        <v>7.5999999999999998E-2</v>
      </c>
      <c r="D136" s="84">
        <f>Módulo62989[[#This Row],[Percentual]]*D150</f>
        <v>287.10084621727015</v>
      </c>
    </row>
    <row r="137" spans="1:4">
      <c r="A137" s="24" t="s">
        <v>167</v>
      </c>
      <c r="B137" t="s">
        <v>50</v>
      </c>
      <c r="C137" s="111">
        <f>G20</f>
        <v>0.05</v>
      </c>
      <c r="D137" s="84">
        <f>Módulo62989[[#This Row],[Percentual]]*D150</f>
        <v>188.88213566925668</v>
      </c>
    </row>
    <row r="138" spans="1:4">
      <c r="A138" s="24" t="s">
        <v>44</v>
      </c>
      <c r="C138" s="124"/>
      <c r="D138" s="84">
        <f>SUM(D132:D134)</f>
        <v>832.62983834978888</v>
      </c>
    </row>
    <row r="139" spans="1:4">
      <c r="A139" s="24"/>
      <c r="C139" s="124"/>
      <c r="D139" s="84"/>
    </row>
    <row r="141" spans="1:4">
      <c r="A141" s="140" t="s">
        <v>168</v>
      </c>
      <c r="B141" s="140"/>
      <c r="C141" s="140"/>
      <c r="D141" s="140"/>
    </row>
    <row r="142" spans="1:4">
      <c r="A142" s="24" t="s">
        <v>2</v>
      </c>
      <c r="B142" s="24" t="s">
        <v>169</v>
      </c>
      <c r="C142" s="24" t="s">
        <v>95</v>
      </c>
      <c r="D142" s="24" t="s">
        <v>5</v>
      </c>
    </row>
    <row r="143" spans="1:4">
      <c r="A143" s="24" t="s">
        <v>28</v>
      </c>
      <c r="B143" t="s">
        <v>22</v>
      </c>
      <c r="D143" s="84">
        <f>Módulo1379[[#Totals],[Valor]]</f>
        <v>1406.74</v>
      </c>
    </row>
    <row r="144" spans="1:4">
      <c r="A144" s="24" t="s">
        <v>31</v>
      </c>
      <c r="B144" t="s">
        <v>47</v>
      </c>
      <c r="D144" s="84">
        <f>ResumoMódulo2983[[#Totals],[Valor]]</f>
        <v>1091.7004000000002</v>
      </c>
    </row>
    <row r="145" spans="1:4">
      <c r="A145" s="24" t="s">
        <v>34</v>
      </c>
      <c r="B145" t="s">
        <v>101</v>
      </c>
      <c r="D145" s="84">
        <f>Módulo32484[[#Totals],[Valor]]</f>
        <v>215.15013638888891</v>
      </c>
    </row>
    <row r="146" spans="1:4">
      <c r="A146" s="24" t="s">
        <v>36</v>
      </c>
      <c r="B146" t="s">
        <v>170</v>
      </c>
      <c r="D146" s="84">
        <f>ResumoMódulo42787[[#Totals],[Valor]]</f>
        <v>231.42233864645553</v>
      </c>
    </row>
    <row r="147" spans="1:4">
      <c r="A147" s="24" t="s">
        <v>39</v>
      </c>
      <c r="B147" t="s">
        <v>148</v>
      </c>
      <c r="D147" s="84">
        <f>Módulo52888[[#Totals],[Valor]]</f>
        <v>0</v>
      </c>
    </row>
    <row r="148" spans="1:4">
      <c r="A148" t="s">
        <v>171</v>
      </c>
      <c r="D148" s="84">
        <f>SUM(D143:D147)</f>
        <v>2945.0128750353447</v>
      </c>
    </row>
    <row r="149" spans="1:4">
      <c r="A149" s="24" t="s">
        <v>41</v>
      </c>
      <c r="B149" t="s">
        <v>160</v>
      </c>
      <c r="D149" s="84">
        <f>Módulo62989[[#Totals],[Valor]]</f>
        <v>832.62983834978888</v>
      </c>
    </row>
    <row r="150" spans="1:4">
      <c r="A150" s="48" t="s">
        <v>172</v>
      </c>
      <c r="B150" s="48"/>
      <c r="C150" s="48"/>
      <c r="D150" s="126">
        <f>(SUM(D143:D147)+D132+D133)/(100%-C134)</f>
        <v>3777.6427133851334</v>
      </c>
    </row>
  </sheetData>
  <mergeCells count="25">
    <mergeCell ref="A1:D1"/>
    <mergeCell ref="F1:G1"/>
    <mergeCell ref="F8:G8"/>
    <mergeCell ref="A9:D9"/>
    <mergeCell ref="F14:G14"/>
    <mergeCell ref="A19:D19"/>
    <mergeCell ref="A20:D20"/>
    <mergeCell ref="F22:G22"/>
    <mergeCell ref="A26:D26"/>
    <mergeCell ref="A31:D31"/>
    <mergeCell ref="A43:D43"/>
    <mergeCell ref="A47:D47"/>
    <mergeCell ref="A56:D56"/>
    <mergeCell ref="A61:D61"/>
    <mergeCell ref="A68:D68"/>
    <mergeCell ref="A78:D78"/>
    <mergeCell ref="A87:D87"/>
    <mergeCell ref="A88:D88"/>
    <mergeCell ref="A98:D98"/>
    <mergeCell ref="A104:D104"/>
    <mergeCell ref="A109:D109"/>
    <mergeCell ref="A115:D115"/>
    <mergeCell ref="A123:D123"/>
    <mergeCell ref="A130:D130"/>
    <mergeCell ref="A141:D141"/>
  </mergeCells>
  <pageMargins left="0.7" right="0.7" top="0.75" bottom="0.75" header="0.3" footer="0.3"/>
  <pageSetup paperSize="9" orientation="portrait"/>
  <legacyDrawing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9"/>
  <sheetViews>
    <sheetView topLeftCell="A127" workbookViewId="0">
      <selection activeCell="C112" sqref="C112:C114"/>
    </sheetView>
  </sheetViews>
  <sheetFormatPr defaultColWidth="9.140625" defaultRowHeight="15"/>
  <cols>
    <col min="1" max="1" width="26.85546875" customWidth="1"/>
    <col min="2" max="2" width="45.42578125" customWidth="1"/>
    <col min="3" max="3" width="26.7109375" customWidth="1"/>
    <col min="4" max="4" width="13.5703125" customWidth="1"/>
    <col min="6" max="6" width="29.28515625" customWidth="1"/>
    <col min="7" max="7" width="11.42578125" customWidth="1"/>
  </cols>
  <sheetData>
    <row r="1" spans="1:7">
      <c r="A1" s="145" t="s">
        <v>0</v>
      </c>
      <c r="B1" s="145"/>
      <c r="C1" s="145"/>
      <c r="D1" s="145"/>
      <c r="F1" s="144" t="s">
        <v>1</v>
      </c>
      <c r="G1" s="144"/>
    </row>
    <row r="2" spans="1:7">
      <c r="A2" s="24" t="s">
        <v>2</v>
      </c>
      <c r="B2" t="s">
        <v>3</v>
      </c>
      <c r="C2" s="24" t="s">
        <v>4</v>
      </c>
      <c r="D2" s="24" t="s">
        <v>5</v>
      </c>
      <c r="F2" t="s">
        <v>3</v>
      </c>
      <c r="G2" t="s">
        <v>5</v>
      </c>
    </row>
    <row r="3" spans="1:7">
      <c r="A3" s="24">
        <v>1</v>
      </c>
      <c r="B3" t="s">
        <v>6</v>
      </c>
      <c r="C3" s="24"/>
      <c r="D3" s="24" t="s">
        <v>7</v>
      </c>
      <c r="F3" t="s">
        <v>8</v>
      </c>
      <c r="G3" s="98"/>
    </row>
    <row r="4" spans="1:7">
      <c r="A4" s="24">
        <v>2</v>
      </c>
      <c r="B4" t="s">
        <v>9</v>
      </c>
      <c r="C4" s="24"/>
      <c r="D4" s="24" t="s">
        <v>95</v>
      </c>
      <c r="F4" t="s">
        <v>11</v>
      </c>
      <c r="G4" s="98"/>
    </row>
    <row r="5" spans="1:7">
      <c r="A5" s="24">
        <v>3</v>
      </c>
      <c r="B5" t="s">
        <v>12</v>
      </c>
      <c r="C5" s="24" t="s">
        <v>192</v>
      </c>
      <c r="D5" s="99"/>
      <c r="F5" t="s">
        <v>14</v>
      </c>
      <c r="G5" s="97"/>
    </row>
    <row r="6" spans="1:7">
      <c r="A6" s="24">
        <v>4</v>
      </c>
      <c r="B6" t="s">
        <v>15</v>
      </c>
      <c r="C6" s="24" t="s">
        <v>174</v>
      </c>
      <c r="D6" s="24" t="s">
        <v>193</v>
      </c>
      <c r="F6" t="s">
        <v>18</v>
      </c>
      <c r="G6" s="100"/>
    </row>
    <row r="7" spans="1:7">
      <c r="A7" s="24">
        <v>5</v>
      </c>
      <c r="B7" t="s">
        <v>19</v>
      </c>
      <c r="C7" s="24"/>
      <c r="D7" s="24" t="s">
        <v>20</v>
      </c>
    </row>
    <row r="8" spans="1:7">
      <c r="F8" s="101"/>
      <c r="G8" s="102"/>
    </row>
    <row r="9" spans="1:7">
      <c r="A9" s="140" t="s">
        <v>22</v>
      </c>
      <c r="B9" s="140"/>
      <c r="C9" s="140"/>
      <c r="D9" s="140"/>
      <c r="F9" s="101"/>
      <c r="G9" s="102"/>
    </row>
    <row r="10" spans="1:7">
      <c r="A10" s="24" t="s">
        <v>25</v>
      </c>
      <c r="B10" t="s">
        <v>26</v>
      </c>
      <c r="C10" s="24" t="s">
        <v>4</v>
      </c>
      <c r="D10" s="24" t="s">
        <v>5</v>
      </c>
      <c r="F10" s="101"/>
      <c r="G10" s="102"/>
    </row>
    <row r="11" spans="1:7">
      <c r="A11" s="24" t="s">
        <v>28</v>
      </c>
      <c r="B11" t="s">
        <v>29</v>
      </c>
      <c r="C11" s="24"/>
      <c r="D11" s="84">
        <f>D5</f>
        <v>0</v>
      </c>
      <c r="F11" s="101"/>
      <c r="G11" s="102"/>
    </row>
    <row r="12" spans="1:7">
      <c r="A12" s="24" t="s">
        <v>31</v>
      </c>
      <c r="B12" t="s">
        <v>32</v>
      </c>
      <c r="C12" s="24"/>
      <c r="D12" s="84"/>
      <c r="F12" s="101"/>
      <c r="G12" s="102"/>
    </row>
    <row r="13" spans="1:7">
      <c r="A13" s="24" t="s">
        <v>34</v>
      </c>
      <c r="B13" t="s">
        <v>35</v>
      </c>
      <c r="C13" s="24" t="s">
        <v>194</v>
      </c>
      <c r="D13" s="84">
        <f>TRUNC(D11*40%,2)</f>
        <v>0</v>
      </c>
      <c r="F13" s="101"/>
      <c r="G13" s="102"/>
    </row>
    <row r="14" spans="1:7">
      <c r="A14" s="24" t="s">
        <v>36</v>
      </c>
      <c r="B14" t="s">
        <v>37</v>
      </c>
      <c r="C14" s="24"/>
      <c r="D14" s="84"/>
      <c r="F14" s="101"/>
      <c r="G14" s="102"/>
    </row>
    <row r="15" spans="1:7">
      <c r="A15" s="24" t="s">
        <v>39</v>
      </c>
      <c r="B15" t="s">
        <v>40</v>
      </c>
      <c r="C15" s="24"/>
      <c r="D15" s="84"/>
      <c r="F15" s="101"/>
      <c r="G15" s="102"/>
    </row>
    <row r="16" spans="1:7">
      <c r="A16" s="24" t="s">
        <v>41</v>
      </c>
      <c r="B16" t="s">
        <v>42</v>
      </c>
      <c r="C16" s="24"/>
      <c r="D16" s="84"/>
      <c r="F16" s="101"/>
      <c r="G16" s="102"/>
    </row>
    <row r="17" spans="1:7">
      <c r="A17" s="24" t="s">
        <v>44</v>
      </c>
      <c r="C17" s="24"/>
      <c r="D17" s="84">
        <f>TRUNC(SUM(D11:D16),2)</f>
        <v>0</v>
      </c>
      <c r="F17" s="101"/>
      <c r="G17" s="102"/>
    </row>
    <row r="18" spans="1:7">
      <c r="F18" s="101"/>
      <c r="G18" s="102"/>
    </row>
    <row r="19" spans="1:7">
      <c r="A19" s="143" t="s">
        <v>47</v>
      </c>
      <c r="B19" s="143"/>
      <c r="C19" s="143"/>
      <c r="D19" s="143"/>
      <c r="F19" s="101"/>
      <c r="G19" s="102"/>
    </row>
    <row r="20" spans="1:7">
      <c r="A20" s="144" t="s">
        <v>49</v>
      </c>
      <c r="B20" s="144"/>
      <c r="C20" s="144"/>
      <c r="D20" s="144"/>
      <c r="F20" s="101"/>
      <c r="G20" s="102"/>
    </row>
    <row r="21" spans="1:7">
      <c r="A21" s="24" t="s">
        <v>51</v>
      </c>
      <c r="B21" t="s">
        <v>52</v>
      </c>
      <c r="C21" s="24" t="s">
        <v>4</v>
      </c>
      <c r="D21" s="24" t="s">
        <v>5</v>
      </c>
      <c r="F21" s="101"/>
      <c r="G21" s="102"/>
    </row>
    <row r="22" spans="1:7">
      <c r="A22" s="24" t="s">
        <v>28</v>
      </c>
      <c r="B22" t="s">
        <v>53</v>
      </c>
      <c r="C22" s="103">
        <f>(1/12)</f>
        <v>8.3333333333333329E-2</v>
      </c>
      <c r="D22" s="84">
        <f>TRUNC($D$17*C22,2)</f>
        <v>0</v>
      </c>
      <c r="F22" s="101"/>
      <c r="G22" s="102"/>
    </row>
    <row r="23" spans="1:7">
      <c r="A23" s="24" t="s">
        <v>31</v>
      </c>
      <c r="B23" t="s">
        <v>55</v>
      </c>
      <c r="C23" s="103">
        <f>(((1+1/3)/12))</f>
        <v>0.1111111111111111</v>
      </c>
      <c r="D23" s="84">
        <f>TRUNC($D$17*C23,2)</f>
        <v>0</v>
      </c>
      <c r="E23" s="104"/>
      <c r="F23" s="101"/>
      <c r="G23" s="102"/>
    </row>
    <row r="24" spans="1:7">
      <c r="A24" s="24" t="s">
        <v>44</v>
      </c>
      <c r="D24" s="84">
        <f>TRUNC(SUM(D22:D23),2)</f>
        <v>0</v>
      </c>
      <c r="F24" s="101"/>
      <c r="G24" s="102"/>
    </row>
    <row r="25" spans="1:7">
      <c r="A25" s="24"/>
      <c r="D25" s="84"/>
      <c r="F25" s="101"/>
      <c r="G25" s="102"/>
    </row>
    <row r="26" spans="1:7">
      <c r="A26" s="147" t="s">
        <v>176</v>
      </c>
      <c r="B26" s="147"/>
      <c r="C26" s="105" t="s">
        <v>177</v>
      </c>
      <c r="D26" s="106">
        <f>D17</f>
        <v>0</v>
      </c>
      <c r="F26" s="107"/>
      <c r="G26" s="107"/>
    </row>
    <row r="27" spans="1:7">
      <c r="A27" s="147"/>
      <c r="B27" s="147"/>
      <c r="C27" s="108" t="s">
        <v>178</v>
      </c>
      <c r="D27" s="106">
        <f>D24</f>
        <v>0</v>
      </c>
      <c r="F27" s="107"/>
      <c r="G27" s="107"/>
    </row>
    <row r="28" spans="1:7">
      <c r="A28" s="147"/>
      <c r="B28" s="147"/>
      <c r="C28" s="105" t="s">
        <v>179</v>
      </c>
      <c r="D28" s="109">
        <f>TRUNC((SUM(D26:D27)),2)</f>
        <v>0</v>
      </c>
      <c r="F28" s="107"/>
      <c r="G28" s="107"/>
    </row>
    <row r="29" spans="1:7">
      <c r="A29" s="24"/>
      <c r="B29" s="24"/>
      <c r="C29" s="110"/>
      <c r="F29" s="107"/>
      <c r="G29" s="107"/>
    </row>
    <row r="30" spans="1:7">
      <c r="A30" s="144" t="s">
        <v>66</v>
      </c>
      <c r="B30" s="144"/>
      <c r="C30" s="144"/>
      <c r="D30" s="144"/>
    </row>
    <row r="31" spans="1:7">
      <c r="A31" s="24" t="s">
        <v>67</v>
      </c>
      <c r="B31" t="s">
        <v>68</v>
      </c>
      <c r="C31" s="24" t="s">
        <v>24</v>
      </c>
      <c r="D31" s="24" t="s">
        <v>69</v>
      </c>
    </row>
    <row r="32" spans="1:7">
      <c r="A32" s="24" t="s">
        <v>28</v>
      </c>
      <c r="B32" t="s">
        <v>70</v>
      </c>
      <c r="C32" s="111">
        <v>0.2</v>
      </c>
      <c r="D32" s="84">
        <f t="shared" ref="D32:D39" si="0">TRUNC(($D$28*C32),2)</f>
        <v>0</v>
      </c>
    </row>
    <row r="33" spans="1:4">
      <c r="A33" s="24" t="s">
        <v>31</v>
      </c>
      <c r="B33" t="s">
        <v>71</v>
      </c>
      <c r="C33" s="111">
        <v>2.5000000000000001E-2</v>
      </c>
      <c r="D33" s="84">
        <f t="shared" si="0"/>
        <v>0</v>
      </c>
    </row>
    <row r="34" spans="1:4">
      <c r="A34" s="24" t="s">
        <v>34</v>
      </c>
      <c r="B34" t="s">
        <v>72</v>
      </c>
      <c r="C34" s="112">
        <f>G6</f>
        <v>0</v>
      </c>
      <c r="D34" s="113">
        <f t="shared" si="0"/>
        <v>0</v>
      </c>
    </row>
    <row r="35" spans="1:4">
      <c r="A35" s="24" t="s">
        <v>36</v>
      </c>
      <c r="B35" t="s">
        <v>73</v>
      </c>
      <c r="C35" s="111">
        <v>1.4999999999999999E-2</v>
      </c>
      <c r="D35" s="84">
        <f t="shared" si="0"/>
        <v>0</v>
      </c>
    </row>
    <row r="36" spans="1:4">
      <c r="A36" s="24" t="s">
        <v>39</v>
      </c>
      <c r="B36" t="s">
        <v>74</v>
      </c>
      <c r="C36" s="111">
        <v>0.01</v>
      </c>
      <c r="D36" s="84">
        <f t="shared" si="0"/>
        <v>0</v>
      </c>
    </row>
    <row r="37" spans="1:4">
      <c r="A37" s="24" t="s">
        <v>41</v>
      </c>
      <c r="B37" t="s">
        <v>75</v>
      </c>
      <c r="C37" s="111">
        <v>6.0000000000000001E-3</v>
      </c>
      <c r="D37" s="84">
        <f t="shared" si="0"/>
        <v>0</v>
      </c>
    </row>
    <row r="38" spans="1:4">
      <c r="A38" s="24" t="s">
        <v>76</v>
      </c>
      <c r="B38" t="s">
        <v>77</v>
      </c>
      <c r="C38" s="111">
        <v>2E-3</v>
      </c>
      <c r="D38" s="84">
        <f t="shared" si="0"/>
        <v>0</v>
      </c>
    </row>
    <row r="39" spans="1:4">
      <c r="A39" s="24" t="s">
        <v>78</v>
      </c>
      <c r="B39" t="s">
        <v>79</v>
      </c>
      <c r="C39" s="111">
        <v>0.08</v>
      </c>
      <c r="D39" s="84">
        <f t="shared" si="0"/>
        <v>0</v>
      </c>
    </row>
    <row r="40" spans="1:4">
      <c r="A40" s="24" t="s">
        <v>44</v>
      </c>
      <c r="C40" s="114">
        <f>SUBTOTAL(109,Submódulo2.267_75136149163[Percentual])</f>
        <v>0.33800000000000002</v>
      </c>
      <c r="D40" s="84">
        <f>TRUNC(SUM(D32:D39),2)</f>
        <v>0</v>
      </c>
    </row>
    <row r="41" spans="1:4">
      <c r="A41" s="24"/>
      <c r="C41" s="114"/>
      <c r="D41" s="84"/>
    </row>
    <row r="42" spans="1:4">
      <c r="A42" s="144" t="s">
        <v>84</v>
      </c>
      <c r="B42" s="144"/>
      <c r="C42" s="144"/>
      <c r="D42" s="144"/>
    </row>
    <row r="43" spans="1:4">
      <c r="A43" s="24" t="s">
        <v>85</v>
      </c>
      <c r="B43" t="s">
        <v>86</v>
      </c>
      <c r="C43" s="24" t="s">
        <v>4</v>
      </c>
      <c r="D43" s="24" t="s">
        <v>5</v>
      </c>
    </row>
    <row r="44" spans="1:4">
      <c r="A44" s="24" t="s">
        <v>28</v>
      </c>
      <c r="B44" t="s">
        <v>87</v>
      </c>
      <c r="D44" s="113"/>
    </row>
    <row r="45" spans="1:4">
      <c r="A45" s="24" t="s">
        <v>31</v>
      </c>
      <c r="B45" t="s">
        <v>88</v>
      </c>
      <c r="D45" s="113"/>
    </row>
    <row r="46" spans="1:4">
      <c r="A46" s="24" t="s">
        <v>34</v>
      </c>
      <c r="B46" t="s">
        <v>89</v>
      </c>
      <c r="D46" s="113"/>
    </row>
    <row r="47" spans="1:4">
      <c r="A47" s="24" t="s">
        <v>36</v>
      </c>
      <c r="B47" t="s">
        <v>90</v>
      </c>
      <c r="C47" s="115" t="s">
        <v>174</v>
      </c>
      <c r="D47" s="113"/>
    </row>
    <row r="48" spans="1:4">
      <c r="A48" s="24" t="s">
        <v>39</v>
      </c>
      <c r="B48" t="s">
        <v>92</v>
      </c>
      <c r="C48" s="115" t="s">
        <v>174</v>
      </c>
      <c r="D48" s="113"/>
    </row>
    <row r="49" spans="1:4">
      <c r="A49" s="24" t="s">
        <v>44</v>
      </c>
      <c r="D49" s="84"/>
    </row>
    <row r="50" spans="1:4">
      <c r="A50" s="24"/>
      <c r="D50" s="84"/>
    </row>
    <row r="51" spans="1:4">
      <c r="A51" s="144" t="s">
        <v>98</v>
      </c>
      <c r="B51" s="144"/>
      <c r="C51" s="144"/>
      <c r="D51" s="144"/>
    </row>
    <row r="52" spans="1:4">
      <c r="A52" s="24" t="s">
        <v>99</v>
      </c>
      <c r="B52" t="s">
        <v>100</v>
      </c>
      <c r="C52" s="24" t="s">
        <v>4</v>
      </c>
      <c r="D52" s="24" t="s">
        <v>5</v>
      </c>
    </row>
    <row r="53" spans="1:4">
      <c r="A53" s="24" t="s">
        <v>51</v>
      </c>
      <c r="B53" t="s">
        <v>52</v>
      </c>
      <c r="C53" s="24"/>
      <c r="D53" s="84">
        <f>D24</f>
        <v>0</v>
      </c>
    </row>
    <row r="54" spans="1:4">
      <c r="A54" s="24" t="s">
        <v>67</v>
      </c>
      <c r="B54" t="s">
        <v>68</v>
      </c>
      <c r="C54" s="24"/>
      <c r="D54" s="84">
        <f>D40</f>
        <v>0</v>
      </c>
    </row>
    <row r="55" spans="1:4">
      <c r="A55" s="24" t="s">
        <v>85</v>
      </c>
      <c r="B55" t="s">
        <v>86</v>
      </c>
      <c r="C55" s="24"/>
      <c r="D55" s="84">
        <f>D49</f>
        <v>0</v>
      </c>
    </row>
    <row r="56" spans="1:4">
      <c r="A56" s="24" t="s">
        <v>44</v>
      </c>
      <c r="C56" s="24"/>
      <c r="D56" s="84">
        <f>TRUNC(SUM(D53:D55),2)</f>
        <v>0</v>
      </c>
    </row>
    <row r="58" spans="1:4">
      <c r="A58" s="140" t="s">
        <v>101</v>
      </c>
      <c r="B58" s="140"/>
      <c r="C58" s="140"/>
      <c r="D58" s="140"/>
    </row>
    <row r="59" spans="1:4">
      <c r="A59" s="24" t="s">
        <v>102</v>
      </c>
      <c r="B59" t="s">
        <v>103</v>
      </c>
      <c r="C59" s="24" t="s">
        <v>4</v>
      </c>
      <c r="D59" s="24" t="s">
        <v>5</v>
      </c>
    </row>
    <row r="60" spans="1:4">
      <c r="A60" s="24" t="s">
        <v>28</v>
      </c>
      <c r="B60" s="23" t="s">
        <v>104</v>
      </c>
      <c r="C60" s="116"/>
      <c r="D60" s="117">
        <f t="shared" ref="D60:D63" si="1">TRUNC(($D$17*C60),2)</f>
        <v>0</v>
      </c>
    </row>
    <row r="61" spans="1:4" ht="30">
      <c r="A61" s="24" t="s">
        <v>31</v>
      </c>
      <c r="B61" s="23" t="s">
        <v>105</v>
      </c>
      <c r="C61" s="103"/>
      <c r="D61" s="42">
        <f>TRUNC(D60*C61,2)</f>
        <v>0</v>
      </c>
    </row>
    <row r="62" spans="1:4" ht="30">
      <c r="A62" s="24" t="s">
        <v>34</v>
      </c>
      <c r="B62" s="23" t="s">
        <v>106</v>
      </c>
      <c r="C62" s="116"/>
      <c r="D62" s="117">
        <f t="shared" si="1"/>
        <v>0</v>
      </c>
    </row>
    <row r="63" spans="1:4">
      <c r="A63" s="24" t="s">
        <v>36</v>
      </c>
      <c r="B63" s="23" t="s">
        <v>107</v>
      </c>
      <c r="C63" s="103"/>
      <c r="D63" s="42">
        <f t="shared" si="1"/>
        <v>0</v>
      </c>
    </row>
    <row r="64" spans="1:4" ht="30">
      <c r="A64" s="24" t="s">
        <v>39</v>
      </c>
      <c r="B64" s="23" t="s">
        <v>180</v>
      </c>
      <c r="C64" s="103"/>
      <c r="D64" s="42">
        <f>TRUNC(D63*C64,2)</f>
        <v>0</v>
      </c>
    </row>
    <row r="65" spans="1:5" ht="30">
      <c r="A65" s="24" t="s">
        <v>41</v>
      </c>
      <c r="B65" s="23" t="s">
        <v>108</v>
      </c>
      <c r="C65" s="116"/>
      <c r="D65" s="117">
        <f>TRUNC(($D$17*C65),2)</f>
        <v>0</v>
      </c>
    </row>
    <row r="66" spans="1:5">
      <c r="A66" s="24" t="s">
        <v>44</v>
      </c>
      <c r="D66" s="84">
        <f>TRUNC(SUM(D60:D65),2)</f>
        <v>0</v>
      </c>
    </row>
    <row r="67" spans="1:5">
      <c r="A67" s="24"/>
      <c r="D67" s="84"/>
    </row>
    <row r="68" spans="1:5">
      <c r="A68" s="147" t="s">
        <v>181</v>
      </c>
      <c r="B68" s="147"/>
      <c r="C68" s="105" t="s">
        <v>177</v>
      </c>
      <c r="D68" s="106">
        <f>D17</f>
        <v>0</v>
      </c>
    </row>
    <row r="69" spans="1:5">
      <c r="A69" s="147"/>
      <c r="B69" s="147"/>
      <c r="C69" s="108" t="s">
        <v>182</v>
      </c>
      <c r="D69" s="106">
        <f>D56</f>
        <v>0</v>
      </c>
    </row>
    <row r="70" spans="1:5">
      <c r="A70" s="147"/>
      <c r="B70" s="147"/>
      <c r="C70" s="105" t="s">
        <v>183</v>
      </c>
      <c r="D70" s="106">
        <f>D66</f>
        <v>0</v>
      </c>
    </row>
    <row r="71" spans="1:5">
      <c r="A71" s="147"/>
      <c r="B71" s="147"/>
      <c r="C71" s="108" t="s">
        <v>179</v>
      </c>
      <c r="D71" s="109">
        <f>TRUNC((SUM(D68:D70)),2)</f>
        <v>0</v>
      </c>
    </row>
    <row r="72" spans="1:5">
      <c r="A72" s="24"/>
      <c r="D72" s="84"/>
    </row>
    <row r="73" spans="1:5">
      <c r="A73" s="142" t="s">
        <v>120</v>
      </c>
      <c r="B73" s="143"/>
      <c r="C73" s="143"/>
      <c r="D73" s="143"/>
    </row>
    <row r="74" spans="1:5">
      <c r="A74" s="139" t="s">
        <v>121</v>
      </c>
      <c r="B74" s="139"/>
      <c r="C74" s="139"/>
      <c r="D74" s="139"/>
    </row>
    <row r="75" spans="1:5">
      <c r="A75" s="24" t="s">
        <v>122</v>
      </c>
      <c r="B75" t="s">
        <v>123</v>
      </c>
      <c r="C75" s="24" t="s">
        <v>124</v>
      </c>
      <c r="D75" s="24" t="s">
        <v>5</v>
      </c>
    </row>
    <row r="76" spans="1:5">
      <c r="A76" s="24" t="s">
        <v>28</v>
      </c>
      <c r="B76" t="s">
        <v>125</v>
      </c>
      <c r="C76" s="118"/>
      <c r="D76" s="84">
        <f t="shared" ref="D76:D81" si="2">TRUNC(($D$71*C76),2)</f>
        <v>0</v>
      </c>
      <c r="E76" s="104"/>
    </row>
    <row r="77" spans="1:5">
      <c r="A77" s="24" t="s">
        <v>31</v>
      </c>
      <c r="B77" t="s">
        <v>126</v>
      </c>
      <c r="C77" s="118"/>
      <c r="D77" s="84">
        <f t="shared" si="2"/>
        <v>0</v>
      </c>
      <c r="E77" s="104"/>
    </row>
    <row r="78" spans="1:5">
      <c r="A78" s="24" t="s">
        <v>34</v>
      </c>
      <c r="B78" t="s">
        <v>127</v>
      </c>
      <c r="C78" s="118"/>
      <c r="D78" s="84">
        <f t="shared" si="2"/>
        <v>0</v>
      </c>
      <c r="E78" s="104"/>
    </row>
    <row r="79" spans="1:5">
      <c r="A79" s="24" t="s">
        <v>36</v>
      </c>
      <c r="B79" t="s">
        <v>128</v>
      </c>
      <c r="C79" s="118"/>
      <c r="D79" s="84">
        <f t="shared" si="2"/>
        <v>0</v>
      </c>
      <c r="E79" s="104"/>
    </row>
    <row r="80" spans="1:5">
      <c r="A80" s="24" t="s">
        <v>39</v>
      </c>
      <c r="B80" t="s">
        <v>129</v>
      </c>
      <c r="C80" s="118"/>
      <c r="D80" s="84">
        <f t="shared" si="2"/>
        <v>0</v>
      </c>
      <c r="E80" s="104"/>
    </row>
    <row r="81" spans="1:5">
      <c r="A81" s="24" t="s">
        <v>41</v>
      </c>
      <c r="B81" t="s">
        <v>184</v>
      </c>
      <c r="C81" s="118"/>
      <c r="D81" s="84">
        <f t="shared" si="2"/>
        <v>0</v>
      </c>
      <c r="E81" s="104"/>
    </row>
    <row r="82" spans="1:5">
      <c r="A82" s="24" t="s">
        <v>44</v>
      </c>
      <c r="C82" s="118">
        <f>SUBTOTAL(109,Submódulo4.12511_4132144159[Dias de ausência])</f>
        <v>0</v>
      </c>
      <c r="D82" s="84">
        <f>TRUNC(SUM(D76:D81),2)</f>
        <v>0</v>
      </c>
    </row>
    <row r="83" spans="1:5">
      <c r="A83" s="24"/>
      <c r="C83" s="24"/>
      <c r="D83" s="84"/>
    </row>
    <row r="84" spans="1:5">
      <c r="A84" s="144" t="s">
        <v>140</v>
      </c>
      <c r="B84" s="144"/>
      <c r="C84" s="144"/>
      <c r="D84" s="144"/>
    </row>
    <row r="85" spans="1:5">
      <c r="A85" s="24" t="s">
        <v>141</v>
      </c>
      <c r="B85" t="s">
        <v>142</v>
      </c>
      <c r="C85" s="24" t="s">
        <v>4</v>
      </c>
      <c r="D85" s="24" t="s">
        <v>5</v>
      </c>
    </row>
    <row r="86" spans="1:5">
      <c r="A86" s="24" t="s">
        <v>28</v>
      </c>
      <c r="B86" t="s">
        <v>143</v>
      </c>
      <c r="C86" s="24"/>
      <c r="D86" s="84"/>
    </row>
    <row r="87" spans="1:5">
      <c r="A87" s="24" t="s">
        <v>44</v>
      </c>
      <c r="C87" s="24"/>
      <c r="D87" s="84">
        <f>SUBTOTAL(109,Submódulo4.22612_31129147158[Valor])</f>
        <v>0</v>
      </c>
    </row>
    <row r="89" spans="1:5">
      <c r="A89" s="139" t="s">
        <v>144</v>
      </c>
      <c r="B89" s="139"/>
      <c r="C89" s="139"/>
      <c r="D89" s="139"/>
    </row>
    <row r="90" spans="1:5">
      <c r="A90" s="24" t="s">
        <v>145</v>
      </c>
      <c r="B90" t="s">
        <v>146</v>
      </c>
      <c r="C90" s="24" t="s">
        <v>4</v>
      </c>
      <c r="D90" s="24" t="s">
        <v>5</v>
      </c>
    </row>
    <row r="91" spans="1:5">
      <c r="A91" s="24" t="s">
        <v>122</v>
      </c>
      <c r="B91" t="s">
        <v>123</v>
      </c>
      <c r="D91" s="84">
        <f>D82</f>
        <v>0</v>
      </c>
    </row>
    <row r="92" spans="1:5">
      <c r="A92" s="24" t="s">
        <v>141</v>
      </c>
      <c r="B92" t="s">
        <v>147</v>
      </c>
      <c r="D92" s="84">
        <f>Submódulo4.22612_31129147158[[#Totals],[Valor]]</f>
        <v>0</v>
      </c>
    </row>
    <row r="93" spans="1:5">
      <c r="A93" s="24" t="s">
        <v>44</v>
      </c>
      <c r="D93" s="84">
        <f>TRUNC(SUM(D91:D92),2)</f>
        <v>0</v>
      </c>
    </row>
    <row r="95" spans="1:5">
      <c r="A95" s="140" t="s">
        <v>148</v>
      </c>
      <c r="B95" s="140"/>
      <c r="C95" s="140"/>
      <c r="D95" s="140"/>
    </row>
    <row r="96" spans="1:5">
      <c r="A96" s="24" t="s">
        <v>149</v>
      </c>
      <c r="B96" t="s">
        <v>150</v>
      </c>
      <c r="C96" s="24" t="s">
        <v>4</v>
      </c>
      <c r="D96" s="24" t="s">
        <v>5</v>
      </c>
    </row>
    <row r="97" spans="1:7">
      <c r="A97" s="24" t="s">
        <v>28</v>
      </c>
      <c r="B97" t="s">
        <v>151</v>
      </c>
      <c r="D97" s="71"/>
    </row>
    <row r="98" spans="1:7">
      <c r="A98" s="24" t="s">
        <v>31</v>
      </c>
      <c r="B98" t="s">
        <v>152</v>
      </c>
      <c r="D98" s="71"/>
    </row>
    <row r="99" spans="1:7">
      <c r="A99" s="24" t="s">
        <v>34</v>
      </c>
      <c r="B99" t="s">
        <v>153</v>
      </c>
      <c r="D99" s="71"/>
    </row>
    <row r="100" spans="1:7">
      <c r="A100" s="24" t="s">
        <v>36</v>
      </c>
      <c r="B100" t="s">
        <v>154</v>
      </c>
      <c r="D100" s="71"/>
    </row>
    <row r="101" spans="1:7">
      <c r="A101" s="24" t="s">
        <v>44</v>
      </c>
      <c r="D101" s="84"/>
    </row>
    <row r="102" spans="1:7">
      <c r="A102" s="24"/>
      <c r="D102" s="84"/>
    </row>
    <row r="103" spans="1:7">
      <c r="A103" s="147" t="s">
        <v>185</v>
      </c>
      <c r="B103" s="147"/>
      <c r="C103" s="105" t="s">
        <v>177</v>
      </c>
      <c r="D103" s="106">
        <f>D17</f>
        <v>0</v>
      </c>
    </row>
    <row r="104" spans="1:7">
      <c r="A104" s="147"/>
      <c r="B104" s="147"/>
      <c r="C104" s="108" t="s">
        <v>182</v>
      </c>
      <c r="D104" s="106">
        <f>D56</f>
        <v>0</v>
      </c>
    </row>
    <row r="105" spans="1:7">
      <c r="A105" s="147"/>
      <c r="B105" s="147"/>
      <c r="C105" s="105" t="s">
        <v>183</v>
      </c>
      <c r="D105" s="106">
        <f>D66</f>
        <v>0</v>
      </c>
    </row>
    <row r="106" spans="1:7">
      <c r="A106" s="147"/>
      <c r="B106" s="147"/>
      <c r="C106" s="108" t="s">
        <v>186</v>
      </c>
      <c r="D106" s="106">
        <f>D93</f>
        <v>0</v>
      </c>
    </row>
    <row r="107" spans="1:7">
      <c r="A107" s="147"/>
      <c r="B107" s="147"/>
      <c r="C107" s="105" t="s">
        <v>187</v>
      </c>
      <c r="D107" s="106">
        <f>D101</f>
        <v>0</v>
      </c>
    </row>
    <row r="108" spans="1:7">
      <c r="A108" s="147"/>
      <c r="B108" s="147"/>
      <c r="C108" s="108" t="s">
        <v>179</v>
      </c>
      <c r="D108" s="109">
        <f>TRUNC((SUM(D103:D107)),2)</f>
        <v>0</v>
      </c>
    </row>
    <row r="109" spans="1:7">
      <c r="A109" s="24"/>
      <c r="D109" s="84"/>
    </row>
    <row r="110" spans="1:7">
      <c r="A110" s="140" t="s">
        <v>160</v>
      </c>
      <c r="B110" s="140"/>
      <c r="C110" s="140"/>
      <c r="D110" s="140"/>
      <c r="F110" s="146" t="s">
        <v>188</v>
      </c>
      <c r="G110" s="146"/>
    </row>
    <row r="111" spans="1:7">
      <c r="A111" s="24" t="s">
        <v>161</v>
      </c>
      <c r="B111" t="s">
        <v>162</v>
      </c>
      <c r="C111" s="24" t="s">
        <v>24</v>
      </c>
      <c r="D111" s="24" t="s">
        <v>5</v>
      </c>
      <c r="F111" s="119" t="s">
        <v>189</v>
      </c>
      <c r="G111" s="120"/>
    </row>
    <row r="112" spans="1:7">
      <c r="A112" s="24" t="s">
        <v>28</v>
      </c>
      <c r="B112" t="s">
        <v>163</v>
      </c>
      <c r="C112" s="112"/>
      <c r="D112" s="113">
        <f>TRUNC(($D$108*C112),2)</f>
        <v>0</v>
      </c>
      <c r="F112" s="121" t="s">
        <v>190</v>
      </c>
      <c r="G112" s="122"/>
    </row>
    <row r="113" spans="1:7">
      <c r="A113" s="24" t="s">
        <v>31</v>
      </c>
      <c r="B113" t="s">
        <v>45</v>
      </c>
      <c r="C113" s="112"/>
      <c r="D113" s="113">
        <f>TRUNC((D108+D112)*C113,2)</f>
        <v>0</v>
      </c>
      <c r="F113" s="119" t="s">
        <v>191</v>
      </c>
      <c r="G113" s="123"/>
    </row>
    <row r="114" spans="1:7">
      <c r="A114" s="24" t="s">
        <v>34</v>
      </c>
      <c r="B114" t="s">
        <v>164</v>
      </c>
      <c r="C114" s="112"/>
      <c r="D114" s="113">
        <f>SUM(D115:D117)</f>
        <v>0</v>
      </c>
      <c r="F114" s="121" t="s">
        <v>188</v>
      </c>
      <c r="G114" s="122"/>
    </row>
    <row r="115" spans="1:7">
      <c r="A115" s="24" t="s">
        <v>165</v>
      </c>
      <c r="B115" t="s">
        <v>46</v>
      </c>
      <c r="C115" s="112"/>
      <c r="D115" s="113">
        <f t="shared" ref="D115:D117" si="3">TRUNC(($G$114*C115),2)</f>
        <v>0</v>
      </c>
    </row>
    <row r="116" spans="1:7">
      <c r="A116" s="24" t="s">
        <v>166</v>
      </c>
      <c r="B116" t="s">
        <v>48</v>
      </c>
      <c r="C116" s="112"/>
      <c r="D116" s="113">
        <f t="shared" si="3"/>
        <v>0</v>
      </c>
    </row>
    <row r="117" spans="1:7">
      <c r="A117" s="24" t="s">
        <v>167</v>
      </c>
      <c r="B117" t="s">
        <v>50</v>
      </c>
      <c r="C117" s="112"/>
      <c r="D117" s="113">
        <f t="shared" si="3"/>
        <v>0</v>
      </c>
    </row>
    <row r="118" spans="1:7">
      <c r="A118" s="24" t="s">
        <v>44</v>
      </c>
      <c r="C118" s="124"/>
      <c r="D118" s="84">
        <f>TRUNC(SUM(D112:D114),2)</f>
        <v>0</v>
      </c>
    </row>
    <row r="119" spans="1:7">
      <c r="A119" s="24"/>
      <c r="C119" s="124"/>
      <c r="D119" s="84"/>
    </row>
    <row r="120" spans="1:7">
      <c r="A120" s="140" t="s">
        <v>168</v>
      </c>
      <c r="B120" s="140"/>
      <c r="C120" s="140"/>
      <c r="D120" s="140"/>
    </row>
    <row r="121" spans="1:7">
      <c r="A121" s="24" t="s">
        <v>2</v>
      </c>
      <c r="B121" s="24" t="s">
        <v>169</v>
      </c>
      <c r="C121" s="24" t="s">
        <v>95</v>
      </c>
      <c r="D121" s="24" t="s">
        <v>5</v>
      </c>
    </row>
    <row r="122" spans="1:7">
      <c r="A122" s="24" t="s">
        <v>28</v>
      </c>
      <c r="B122" t="s">
        <v>22</v>
      </c>
      <c r="D122" s="84">
        <f>D17</f>
        <v>0</v>
      </c>
    </row>
    <row r="123" spans="1:7">
      <c r="A123" s="24" t="s">
        <v>31</v>
      </c>
      <c r="B123" t="s">
        <v>47</v>
      </c>
      <c r="D123" s="84">
        <f>D56</f>
        <v>0</v>
      </c>
    </row>
    <row r="124" spans="1:7">
      <c r="A124" s="24" t="s">
        <v>34</v>
      </c>
      <c r="B124" t="s">
        <v>101</v>
      </c>
      <c r="D124" s="84">
        <f>D66</f>
        <v>0</v>
      </c>
    </row>
    <row r="125" spans="1:7">
      <c r="A125" s="24" t="s">
        <v>36</v>
      </c>
      <c r="B125" t="s">
        <v>170</v>
      </c>
      <c r="D125" s="84">
        <f>D93</f>
        <v>0</v>
      </c>
    </row>
    <row r="126" spans="1:7">
      <c r="A126" s="24" t="s">
        <v>39</v>
      </c>
      <c r="B126" t="s">
        <v>148</v>
      </c>
      <c r="D126" s="84">
        <f>D101</f>
        <v>0</v>
      </c>
    </row>
    <row r="127" spans="1:7">
      <c r="A127" t="s">
        <v>171</v>
      </c>
      <c r="D127" s="84">
        <f>TRUNC(SUM(D122:D126),2)</f>
        <v>0</v>
      </c>
    </row>
    <row r="128" spans="1:7">
      <c r="A128" s="24" t="s">
        <v>41</v>
      </c>
      <c r="B128" t="s">
        <v>160</v>
      </c>
      <c r="D128" s="84">
        <f>D118</f>
        <v>0</v>
      </c>
    </row>
    <row r="129" spans="1:4">
      <c r="A129" s="125" t="s">
        <v>172</v>
      </c>
      <c r="B129" s="48"/>
      <c r="C129" s="48"/>
      <c r="D129" s="126">
        <f>TRUNC((SUM(D122:D126)+D128),2)</f>
        <v>0</v>
      </c>
    </row>
  </sheetData>
  <mergeCells count="20">
    <mergeCell ref="A1:D1"/>
    <mergeCell ref="F1:G1"/>
    <mergeCell ref="A9:D9"/>
    <mergeCell ref="A19:D19"/>
    <mergeCell ref="A20:D20"/>
    <mergeCell ref="F110:G110"/>
    <mergeCell ref="A120:D120"/>
    <mergeCell ref="A26:B28"/>
    <mergeCell ref="A68:B71"/>
    <mergeCell ref="A103:B108"/>
    <mergeCell ref="A74:D74"/>
    <mergeCell ref="A84:D84"/>
    <mergeCell ref="A89:D89"/>
    <mergeCell ref="A95:D95"/>
    <mergeCell ref="A110:D110"/>
    <mergeCell ref="A30:D30"/>
    <mergeCell ref="A42:D42"/>
    <mergeCell ref="A51:D51"/>
    <mergeCell ref="A58:D58"/>
    <mergeCell ref="A73:D73"/>
  </mergeCells>
  <pageMargins left="0.75" right="0.75" top="1" bottom="1" header="0.5" footer="0.5"/>
  <legacyDrawing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24" workbookViewId="0">
      <selection activeCell="F26" sqref="F26:F29"/>
    </sheetView>
  </sheetViews>
  <sheetFormatPr defaultColWidth="9" defaultRowHeight="15"/>
  <cols>
    <col min="1" max="1" width="7.28515625" customWidth="1"/>
    <col min="2" max="2" width="14.5703125" customWidth="1"/>
    <col min="3" max="3" width="49.5703125" customWidth="1"/>
    <col min="4" max="4" width="12.28515625" customWidth="1"/>
    <col min="5" max="5" width="8.5703125" customWidth="1"/>
    <col min="6" max="6" width="15.140625" customWidth="1"/>
    <col min="7" max="7" width="13.7109375" customWidth="1"/>
  </cols>
  <sheetData>
    <row r="1" spans="1:8">
      <c r="A1" s="144" t="s">
        <v>195</v>
      </c>
      <c r="B1" s="144"/>
      <c r="C1" s="144"/>
      <c r="D1" s="144"/>
      <c r="E1" s="144"/>
      <c r="F1" s="144"/>
      <c r="G1" s="144"/>
    </row>
    <row r="2" spans="1:8" ht="60">
      <c r="A2" s="38" t="s">
        <v>2</v>
      </c>
      <c r="B2" s="38" t="s">
        <v>196</v>
      </c>
      <c r="C2" s="38" t="s">
        <v>3</v>
      </c>
      <c r="D2" s="67" t="s">
        <v>197</v>
      </c>
      <c r="E2" s="38" t="s">
        <v>198</v>
      </c>
      <c r="F2" s="38" t="s">
        <v>199</v>
      </c>
      <c r="G2" s="38" t="s">
        <v>200</v>
      </c>
      <c r="H2" s="38" t="s">
        <v>201</v>
      </c>
    </row>
    <row r="3" spans="1:8" ht="75">
      <c r="A3" s="38">
        <v>1</v>
      </c>
      <c r="B3" s="78" t="s">
        <v>202</v>
      </c>
      <c r="C3" s="79" t="s">
        <v>203</v>
      </c>
      <c r="D3" s="67" t="s">
        <v>204</v>
      </c>
      <c r="E3" s="80">
        <v>28.76</v>
      </c>
      <c r="F3" s="81">
        <v>2</v>
      </c>
      <c r="G3" s="82">
        <v>57.52</v>
      </c>
      <c r="H3" s="82">
        <f>TRUNC(G3/12,2)</f>
        <v>4.79</v>
      </c>
    </row>
    <row r="4" spans="1:8" ht="38.25">
      <c r="A4" s="38">
        <v>2</v>
      </c>
      <c r="B4" s="78" t="s">
        <v>205</v>
      </c>
      <c r="C4" s="83" t="s">
        <v>206</v>
      </c>
      <c r="D4" s="67" t="s">
        <v>204</v>
      </c>
      <c r="E4" s="80">
        <v>48.47</v>
      </c>
      <c r="F4" s="81">
        <v>2</v>
      </c>
      <c r="G4" s="82">
        <v>96.94</v>
      </c>
      <c r="H4" s="82">
        <v>8.07</v>
      </c>
    </row>
    <row r="5" spans="1:8" ht="25.5">
      <c r="A5" s="38">
        <v>3</v>
      </c>
      <c r="B5" s="78" t="s">
        <v>207</v>
      </c>
      <c r="C5" s="83" t="s">
        <v>208</v>
      </c>
      <c r="D5" s="67" t="s">
        <v>209</v>
      </c>
      <c r="E5" s="80">
        <v>9.18</v>
      </c>
      <c r="F5" s="81">
        <v>4</v>
      </c>
      <c r="G5" s="82">
        <v>36.72</v>
      </c>
      <c r="H5" s="82">
        <f>TRUNC(G5/12,2)</f>
        <v>3.06</v>
      </c>
    </row>
    <row r="6" spans="1:8" ht="51">
      <c r="A6" s="38">
        <v>4</v>
      </c>
      <c r="B6" s="38" t="s">
        <v>210</v>
      </c>
      <c r="C6" s="83" t="s">
        <v>211</v>
      </c>
      <c r="D6" s="67" t="s">
        <v>209</v>
      </c>
      <c r="E6" s="80">
        <v>93.23</v>
      </c>
      <c r="F6" s="81">
        <v>2</v>
      </c>
      <c r="G6" s="82">
        <f>TRUNC(F6*E6,2)</f>
        <v>186.46</v>
      </c>
      <c r="H6" s="82">
        <f>TRUNC(G6/12,2)</f>
        <v>15.53</v>
      </c>
    </row>
    <row r="7" spans="1:8">
      <c r="A7" t="s">
        <v>44</v>
      </c>
      <c r="H7" s="84">
        <f>TRUNC(SUM(H3:H6),2)</f>
        <v>31.45</v>
      </c>
    </row>
    <row r="8" spans="1:8">
      <c r="A8" s="144" t="s">
        <v>212</v>
      </c>
      <c r="B8" s="144"/>
      <c r="C8" s="144"/>
      <c r="D8" s="144"/>
      <c r="E8" s="144"/>
      <c r="F8" s="144"/>
      <c r="G8" s="144"/>
    </row>
    <row r="9" spans="1:8" ht="33.75" customHeight="1">
      <c r="A9" s="38" t="s">
        <v>2</v>
      </c>
      <c r="B9" s="38" t="s">
        <v>196</v>
      </c>
      <c r="C9" s="38" t="s">
        <v>3</v>
      </c>
      <c r="D9" s="67" t="s">
        <v>213</v>
      </c>
      <c r="E9" s="38" t="s">
        <v>198</v>
      </c>
      <c r="F9" s="38" t="s">
        <v>199</v>
      </c>
      <c r="G9" s="38" t="s">
        <v>200</v>
      </c>
      <c r="H9" s="38" t="s">
        <v>201</v>
      </c>
    </row>
    <row r="10" spans="1:8" ht="45">
      <c r="A10" s="38">
        <v>1</v>
      </c>
      <c r="B10" s="38" t="s">
        <v>205</v>
      </c>
      <c r="C10" s="85" t="s">
        <v>214</v>
      </c>
      <c r="D10" s="67" t="s">
        <v>204</v>
      </c>
      <c r="E10" s="86">
        <v>32.18</v>
      </c>
      <c r="F10" s="87">
        <v>4</v>
      </c>
      <c r="G10" s="82">
        <f>TRUNC(F10*E10,2)</f>
        <v>128.72</v>
      </c>
      <c r="H10" s="82">
        <f>TRUNC(G10/12,2)</f>
        <v>10.72</v>
      </c>
    </row>
    <row r="11" spans="1:8" ht="75">
      <c r="A11" s="38">
        <v>2</v>
      </c>
      <c r="B11" s="38" t="s">
        <v>202</v>
      </c>
      <c r="C11" s="85" t="s">
        <v>203</v>
      </c>
      <c r="D11" s="67" t="s">
        <v>204</v>
      </c>
      <c r="E11" s="86">
        <v>18.97</v>
      </c>
      <c r="F11" s="87">
        <v>4</v>
      </c>
      <c r="G11" s="82">
        <f>TRUNC(F11*E11,2)</f>
        <v>75.88</v>
      </c>
      <c r="H11" s="82">
        <f>TRUNC(G11/12,2)</f>
        <v>6.32</v>
      </c>
    </row>
    <row r="12" spans="1:8" ht="30">
      <c r="A12" s="38">
        <v>3</v>
      </c>
      <c r="B12" s="38" t="s">
        <v>207</v>
      </c>
      <c r="C12" s="85" t="s">
        <v>208</v>
      </c>
      <c r="D12" s="67" t="s">
        <v>209</v>
      </c>
      <c r="E12" s="86">
        <v>9.18</v>
      </c>
      <c r="F12" s="87">
        <v>4</v>
      </c>
      <c r="G12" s="82">
        <f>TRUNC(F12*E12,2)</f>
        <v>36.72</v>
      </c>
      <c r="H12" s="82">
        <f>TRUNC(G12/12,2)</f>
        <v>3.06</v>
      </c>
    </row>
    <row r="13" spans="1:8" ht="105">
      <c r="A13" s="38">
        <v>4</v>
      </c>
      <c r="B13" s="38" t="s">
        <v>210</v>
      </c>
      <c r="C13" s="85" t="s">
        <v>215</v>
      </c>
      <c r="D13" s="67" t="s">
        <v>209</v>
      </c>
      <c r="E13" s="86">
        <v>69.69</v>
      </c>
      <c r="F13" s="87">
        <v>2</v>
      </c>
      <c r="G13" s="82">
        <f>TRUNC(F13*E13,2)</f>
        <v>139.38</v>
      </c>
      <c r="H13" s="82">
        <f>TRUNC(G13/12,2)</f>
        <v>11.61</v>
      </c>
    </row>
    <row r="14" spans="1:8">
      <c r="A14" s="67" t="s">
        <v>44</v>
      </c>
      <c r="B14" s="67"/>
      <c r="C14" s="67"/>
      <c r="E14" s="67"/>
      <c r="F14" s="67"/>
      <c r="G14" s="67"/>
      <c r="H14" s="42">
        <f>TRUNC(SUM(H10:H13),2)</f>
        <v>31.71</v>
      </c>
    </row>
    <row r="16" spans="1:8" hidden="1">
      <c r="A16" s="144" t="s">
        <v>195</v>
      </c>
      <c r="B16" s="144"/>
      <c r="C16" s="144"/>
      <c r="D16" s="144"/>
      <c r="E16" s="144"/>
      <c r="F16" s="144"/>
      <c r="G16" s="144"/>
    </row>
    <row r="17" spans="1:8" ht="30" hidden="1">
      <c r="A17" s="23" t="s">
        <v>2</v>
      </c>
      <c r="B17" s="23" t="s">
        <v>196</v>
      </c>
      <c r="C17" s="23" t="s">
        <v>3</v>
      </c>
      <c r="D17" s="23" t="s">
        <v>198</v>
      </c>
      <c r="E17" s="23" t="s">
        <v>199</v>
      </c>
      <c r="F17" s="23" t="s">
        <v>200</v>
      </c>
      <c r="G17" s="23" t="s">
        <v>201</v>
      </c>
    </row>
    <row r="18" spans="1:8" hidden="1">
      <c r="A18" s="88">
        <v>1</v>
      </c>
      <c r="B18" s="23" t="s">
        <v>205</v>
      </c>
      <c r="C18" s="23" t="s">
        <v>216</v>
      </c>
      <c r="D18" s="89">
        <v>32.18</v>
      </c>
      <c r="E18" s="90">
        <v>4</v>
      </c>
      <c r="F18" s="91">
        <f>Table4344[[#This Row],[Valor Médio Unitário (R$)]]*Table4344[[#This Row],[Quant. Anual]]</f>
        <v>128.72</v>
      </c>
      <c r="G18" s="91">
        <f>Table4344[[#This Row],[Valor Anual/ Empregado (R$)]]/12</f>
        <v>10.726666666666667</v>
      </c>
    </row>
    <row r="19" spans="1:8" hidden="1">
      <c r="A19" s="88">
        <v>2</v>
      </c>
      <c r="B19" s="23" t="s">
        <v>202</v>
      </c>
      <c r="C19" s="23" t="s">
        <v>217</v>
      </c>
      <c r="D19" s="89">
        <v>18.97</v>
      </c>
      <c r="E19" s="90">
        <v>4</v>
      </c>
      <c r="F19" s="91">
        <f>Table4344[[#This Row],[Valor Médio Unitário (R$)]]*Table4344[[#This Row],[Quant. Anual]]</f>
        <v>75.88</v>
      </c>
      <c r="G19" s="91">
        <f>Table4344[[#This Row],[Valor Anual/ Empregado (R$)]]/12</f>
        <v>6.3233333333333333</v>
      </c>
    </row>
    <row r="20" spans="1:8" hidden="1">
      <c r="A20" s="88">
        <v>3</v>
      </c>
      <c r="B20" s="23" t="s">
        <v>207</v>
      </c>
      <c r="C20" s="23" t="s">
        <v>218</v>
      </c>
      <c r="D20" s="89">
        <v>9.18</v>
      </c>
      <c r="E20" s="90">
        <v>4</v>
      </c>
      <c r="F20" s="91">
        <f>Table4344[[#This Row],[Valor Médio Unitário (R$)]]*Table4344[[#This Row],[Quant. Anual]]</f>
        <v>36.72</v>
      </c>
      <c r="G20" s="91">
        <f>Table4344[[#This Row],[Valor Anual/ Empregado (R$)]]/12</f>
        <v>3.06</v>
      </c>
    </row>
    <row r="21" spans="1:8" ht="30" hidden="1">
      <c r="A21" s="88">
        <v>4</v>
      </c>
      <c r="B21" s="23" t="s">
        <v>210</v>
      </c>
      <c r="C21" s="23" t="s">
        <v>219</v>
      </c>
      <c r="D21" s="89">
        <v>69.69</v>
      </c>
      <c r="E21" s="90">
        <v>2</v>
      </c>
      <c r="F21" s="91">
        <f>Table4344[[#This Row],[Valor Médio Unitário (R$)]]*Table4344[[#This Row],[Quant. Anual]]</f>
        <v>139.38</v>
      </c>
      <c r="G21" s="91">
        <f>Table4344[[#This Row],[Valor Anual/ Empregado (R$)]]/12</f>
        <v>11.615</v>
      </c>
    </row>
    <row r="22" spans="1:8" hidden="1">
      <c r="A22" t="s">
        <v>44</v>
      </c>
      <c r="G22" s="84">
        <f>SUBTOTAL(109,Table4344[Valor Mensal/ Empregado])</f>
        <v>0</v>
      </c>
    </row>
    <row r="23" spans="1:8" hidden="1"/>
    <row r="24" spans="1:8">
      <c r="A24" s="144" t="s">
        <v>220</v>
      </c>
      <c r="B24" s="144"/>
      <c r="C24" s="144"/>
      <c r="D24" s="144"/>
      <c r="E24" s="144"/>
      <c r="F24" s="144"/>
      <c r="G24" s="144"/>
    </row>
    <row r="25" spans="1:8" ht="35.25" customHeight="1">
      <c r="A25" s="38" t="s">
        <v>2</v>
      </c>
      <c r="B25" s="38" t="s">
        <v>3</v>
      </c>
      <c r="C25" s="38" t="s">
        <v>197</v>
      </c>
      <c r="D25" s="39" t="s">
        <v>221</v>
      </c>
      <c r="E25" s="38" t="s">
        <v>198</v>
      </c>
      <c r="F25" s="38" t="s">
        <v>199</v>
      </c>
      <c r="G25" s="38" t="s">
        <v>222</v>
      </c>
      <c r="H25" s="38" t="s">
        <v>223</v>
      </c>
    </row>
    <row r="26" spans="1:8">
      <c r="A26" s="67">
        <v>1</v>
      </c>
      <c r="B26" s="67" t="s">
        <v>224</v>
      </c>
      <c r="C26" s="92" t="s">
        <v>225</v>
      </c>
      <c r="D26" s="67" t="s">
        <v>204</v>
      </c>
      <c r="E26" s="93"/>
      <c r="F26" s="94"/>
      <c r="G26" s="84">
        <f>TRUNC(F26*E26,2)</f>
        <v>0</v>
      </c>
      <c r="H26" s="84">
        <f>TRUNC(G26/12,2)</f>
        <v>0</v>
      </c>
    </row>
    <row r="27" spans="1:8">
      <c r="A27" s="67">
        <v>2</v>
      </c>
      <c r="B27" s="67" t="s">
        <v>226</v>
      </c>
      <c r="C27" s="92" t="s">
        <v>227</v>
      </c>
      <c r="D27" s="67" t="s">
        <v>204</v>
      </c>
      <c r="E27" s="93"/>
      <c r="F27" s="94"/>
      <c r="G27" s="84">
        <f>TRUNC(F27*E27,2)</f>
        <v>0</v>
      </c>
      <c r="H27" s="84">
        <f>TRUNC(G27/12,2)</f>
        <v>0</v>
      </c>
    </row>
    <row r="28" spans="1:8">
      <c r="A28" s="67">
        <v>3</v>
      </c>
      <c r="B28" s="67" t="s">
        <v>228</v>
      </c>
      <c r="C28" s="92" t="s">
        <v>229</v>
      </c>
      <c r="D28" s="67" t="s">
        <v>204</v>
      </c>
      <c r="E28" s="93"/>
      <c r="F28" s="94"/>
      <c r="G28" s="84">
        <f>TRUNC(F28*E28,2)</f>
        <v>0</v>
      </c>
      <c r="H28" s="84">
        <f>TRUNC(G28/12,2)</f>
        <v>0</v>
      </c>
    </row>
    <row r="29" spans="1:8" ht="45">
      <c r="A29" s="67">
        <v>4</v>
      </c>
      <c r="B29" s="67" t="s">
        <v>230</v>
      </c>
      <c r="C29" s="95" t="s">
        <v>231</v>
      </c>
      <c r="D29" s="67" t="s">
        <v>204</v>
      </c>
      <c r="E29" s="96"/>
      <c r="F29" s="97"/>
      <c r="G29" s="42">
        <f>TRUNC(F29*E29,2)</f>
        <v>0</v>
      </c>
      <c r="H29" s="42">
        <f>TRUNC(G29/12,2)</f>
        <v>0</v>
      </c>
    </row>
    <row r="30" spans="1:8">
      <c r="A30" t="s">
        <v>44</v>
      </c>
      <c r="C30" s="24"/>
      <c r="E30" s="24"/>
      <c r="F30" s="24"/>
      <c r="G30" s="24"/>
      <c r="H30" s="84">
        <f>TRUNC(SUM(H26:H29),2)</f>
        <v>0</v>
      </c>
    </row>
  </sheetData>
  <mergeCells count="4">
    <mergeCell ref="A1:G1"/>
    <mergeCell ref="A8:G8"/>
    <mergeCell ref="A16:G16"/>
    <mergeCell ref="A24:G24"/>
  </mergeCells>
  <pageMargins left="0.7" right="0.7" top="0.75" bottom="0.75" header="0.3" footer="0.3"/>
  <pageSetup paperSize="9" orientation="portrait"/>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E19" sqref="E19:E20"/>
    </sheetView>
  </sheetViews>
  <sheetFormatPr defaultColWidth="9" defaultRowHeight="15"/>
  <cols>
    <col min="1" max="1" width="7.5703125" customWidth="1"/>
    <col min="2" max="2" width="63.5703125" customWidth="1"/>
    <col min="3" max="3" width="10.5703125" customWidth="1"/>
    <col min="4" max="4" width="22.42578125" customWidth="1"/>
    <col min="5" max="5" width="9.42578125" customWidth="1"/>
    <col min="6" max="6" width="17.140625" customWidth="1"/>
  </cols>
  <sheetData>
    <row r="1" spans="1:6">
      <c r="A1" s="144" t="s">
        <v>232</v>
      </c>
      <c r="B1" s="144"/>
      <c r="C1" s="144"/>
      <c r="D1" s="144"/>
      <c r="E1" s="144"/>
      <c r="F1" s="144"/>
    </row>
    <row r="2" spans="1:6">
      <c r="A2" s="24" t="s">
        <v>2</v>
      </c>
      <c r="B2" s="24" t="s">
        <v>3</v>
      </c>
      <c r="C2" s="24" t="s">
        <v>197</v>
      </c>
      <c r="D2" s="24" t="s">
        <v>233</v>
      </c>
      <c r="E2" s="24" t="s">
        <v>234</v>
      </c>
      <c r="F2" s="24" t="s">
        <v>235</v>
      </c>
    </row>
    <row r="3" spans="1:6" ht="30">
      <c r="A3" s="67">
        <v>1</v>
      </c>
      <c r="B3" s="68" t="s">
        <v>236</v>
      </c>
      <c r="C3" s="69" t="s">
        <v>204</v>
      </c>
      <c r="D3" s="70"/>
      <c r="E3" s="39"/>
      <c r="F3" s="71"/>
    </row>
    <row r="4" spans="1:6" ht="30">
      <c r="A4" s="67">
        <v>2</v>
      </c>
      <c r="B4" s="68" t="s">
        <v>237</v>
      </c>
      <c r="C4" s="69" t="s">
        <v>204</v>
      </c>
      <c r="D4" s="70"/>
      <c r="E4" s="39"/>
      <c r="F4" s="71"/>
    </row>
    <row r="5" spans="1:6" ht="30">
      <c r="A5" s="67">
        <v>3</v>
      </c>
      <c r="B5" s="68" t="s">
        <v>238</v>
      </c>
      <c r="C5" s="69" t="s">
        <v>204</v>
      </c>
      <c r="D5" s="70"/>
      <c r="E5" s="39"/>
      <c r="F5" s="71"/>
    </row>
    <row r="6" spans="1:6">
      <c r="A6" s="67">
        <v>4</v>
      </c>
      <c r="B6" s="68" t="s">
        <v>239</v>
      </c>
      <c r="C6" s="69" t="s">
        <v>204</v>
      </c>
      <c r="D6" s="70"/>
      <c r="E6" s="39"/>
      <c r="F6" s="71"/>
    </row>
    <row r="7" spans="1:6">
      <c r="A7" s="67">
        <v>5</v>
      </c>
      <c r="B7" s="68" t="s">
        <v>240</v>
      </c>
      <c r="C7" s="69" t="s">
        <v>204</v>
      </c>
      <c r="D7" s="70"/>
      <c r="E7" s="39"/>
      <c r="F7" s="71"/>
    </row>
    <row r="8" spans="1:6">
      <c r="A8" s="67">
        <v>6</v>
      </c>
      <c r="B8" s="68" t="s">
        <v>241</v>
      </c>
      <c r="C8" s="69" t="s">
        <v>204</v>
      </c>
      <c r="D8" s="70"/>
      <c r="E8" s="39"/>
      <c r="F8" s="71"/>
    </row>
    <row r="9" spans="1:6">
      <c r="A9" s="67">
        <v>7</v>
      </c>
      <c r="B9" s="68" t="s">
        <v>242</v>
      </c>
      <c r="C9" s="69" t="s">
        <v>204</v>
      </c>
      <c r="D9" s="70"/>
      <c r="E9" s="39"/>
      <c r="F9" s="71"/>
    </row>
    <row r="10" spans="1:6">
      <c r="A10" s="67">
        <v>8</v>
      </c>
      <c r="B10" s="68" t="s">
        <v>243</v>
      </c>
      <c r="C10" s="69" t="s">
        <v>204</v>
      </c>
      <c r="D10" s="70"/>
      <c r="E10" s="39"/>
      <c r="F10" s="71"/>
    </row>
    <row r="11" spans="1:6">
      <c r="A11" s="67">
        <v>9</v>
      </c>
      <c r="B11" s="68" t="s">
        <v>244</v>
      </c>
      <c r="C11" s="69" t="s">
        <v>204</v>
      </c>
      <c r="D11" s="70"/>
      <c r="E11" s="39"/>
      <c r="F11" s="71"/>
    </row>
    <row r="12" spans="1:6" ht="90">
      <c r="A12" s="67">
        <v>10</v>
      </c>
      <c r="B12" s="68" t="s">
        <v>245</v>
      </c>
      <c r="C12" s="69" t="s">
        <v>204</v>
      </c>
      <c r="D12" s="70"/>
      <c r="E12" s="39"/>
      <c r="F12" s="71"/>
    </row>
    <row r="13" spans="1:6" ht="75">
      <c r="A13" s="67">
        <v>11</v>
      </c>
      <c r="B13" s="68" t="s">
        <v>246</v>
      </c>
      <c r="C13" s="69" t="s">
        <v>204</v>
      </c>
      <c r="D13" s="70"/>
      <c r="E13" s="39"/>
      <c r="F13" s="71"/>
    </row>
    <row r="14" spans="1:6">
      <c r="A14" s="67">
        <v>12</v>
      </c>
      <c r="B14" s="72" t="s">
        <v>247</v>
      </c>
      <c r="C14" s="69" t="s">
        <v>204</v>
      </c>
      <c r="D14" s="70"/>
      <c r="E14" s="39"/>
      <c r="F14" s="71"/>
    </row>
    <row r="15" spans="1:6" ht="45">
      <c r="A15" s="67">
        <v>13</v>
      </c>
      <c r="B15" s="40" t="s">
        <v>248</v>
      </c>
      <c r="C15" s="69" t="s">
        <v>204</v>
      </c>
      <c r="D15" s="70"/>
      <c r="E15" s="39"/>
      <c r="F15" s="71"/>
    </row>
    <row r="16" spans="1:6">
      <c r="A16" s="67">
        <v>14</v>
      </c>
      <c r="B16" s="68" t="s">
        <v>249</v>
      </c>
      <c r="C16" s="69" t="s">
        <v>204</v>
      </c>
      <c r="D16" s="70"/>
      <c r="E16" s="39"/>
      <c r="F16" s="71"/>
    </row>
    <row r="17" spans="1:6">
      <c r="A17" s="67">
        <v>15</v>
      </c>
      <c r="B17" s="68" t="s">
        <v>250</v>
      </c>
      <c r="C17" s="69" t="s">
        <v>204</v>
      </c>
      <c r="D17" s="70"/>
      <c r="E17" s="39"/>
      <c r="F17" s="71"/>
    </row>
    <row r="18" spans="1:6">
      <c r="A18" s="67">
        <v>16</v>
      </c>
      <c r="B18" s="68" t="s">
        <v>251</v>
      </c>
      <c r="C18" s="69" t="s">
        <v>204</v>
      </c>
      <c r="D18" s="70"/>
      <c r="E18" s="39"/>
      <c r="F18" s="71"/>
    </row>
    <row r="19" spans="1:6">
      <c r="A19" s="67">
        <v>17</v>
      </c>
      <c r="B19" s="68" t="s">
        <v>252</v>
      </c>
      <c r="C19" s="69" t="s">
        <v>204</v>
      </c>
      <c r="D19" s="70"/>
      <c r="E19" s="39"/>
      <c r="F19" s="71"/>
    </row>
    <row r="20" spans="1:6" ht="30">
      <c r="A20" s="67">
        <v>18</v>
      </c>
      <c r="B20" s="68" t="s">
        <v>253</v>
      </c>
      <c r="C20" s="69" t="s">
        <v>204</v>
      </c>
      <c r="D20" s="70"/>
      <c r="E20" s="39"/>
      <c r="F20" s="71"/>
    </row>
    <row r="21" spans="1:6" ht="45">
      <c r="A21" s="67">
        <v>19</v>
      </c>
      <c r="B21" s="68" t="s">
        <v>254</v>
      </c>
      <c r="C21" s="69" t="s">
        <v>204</v>
      </c>
      <c r="D21" s="70"/>
      <c r="E21" s="39"/>
      <c r="F21" s="71"/>
    </row>
    <row r="22" spans="1:6">
      <c r="A22" s="67">
        <v>20</v>
      </c>
      <c r="B22" s="68" t="s">
        <v>255</v>
      </c>
      <c r="C22" s="69" t="s">
        <v>204</v>
      </c>
      <c r="D22" s="70"/>
      <c r="E22" s="39"/>
      <c r="F22" s="71"/>
    </row>
    <row r="23" spans="1:6" ht="30">
      <c r="A23" s="67">
        <v>21</v>
      </c>
      <c r="B23" s="40" t="s">
        <v>256</v>
      </c>
      <c r="C23" s="69" t="s">
        <v>204</v>
      </c>
      <c r="D23" s="70"/>
      <c r="E23" s="39"/>
      <c r="F23" s="71"/>
    </row>
    <row r="24" spans="1:6" ht="30">
      <c r="A24" s="67">
        <v>22</v>
      </c>
      <c r="B24" s="40" t="s">
        <v>257</v>
      </c>
      <c r="C24" s="69" t="s">
        <v>204</v>
      </c>
      <c r="D24" s="70"/>
      <c r="E24" s="39"/>
      <c r="F24" s="71"/>
    </row>
    <row r="25" spans="1:6" ht="60">
      <c r="A25" s="67">
        <v>23</v>
      </c>
      <c r="B25" s="73" t="s">
        <v>258</v>
      </c>
      <c r="C25" s="69" t="s">
        <v>204</v>
      </c>
      <c r="D25" s="70"/>
      <c r="E25" s="39"/>
      <c r="F25" s="71"/>
    </row>
    <row r="26" spans="1:6" ht="60">
      <c r="A26" s="67">
        <v>24</v>
      </c>
      <c r="B26" s="73" t="s">
        <v>259</v>
      </c>
      <c r="C26" s="69" t="s">
        <v>204</v>
      </c>
      <c r="D26" s="70"/>
      <c r="E26" s="39"/>
      <c r="F26" s="71"/>
    </row>
    <row r="27" spans="1:6" ht="30">
      <c r="A27" s="67">
        <v>25</v>
      </c>
      <c r="B27" s="40" t="s">
        <v>260</v>
      </c>
      <c r="C27" s="69" t="s">
        <v>204</v>
      </c>
      <c r="D27" s="70"/>
      <c r="E27" s="39"/>
      <c r="F27" s="71"/>
    </row>
    <row r="28" spans="1:6" ht="45">
      <c r="A28" s="67">
        <v>26</v>
      </c>
      <c r="B28" s="40" t="s">
        <v>261</v>
      </c>
      <c r="C28" s="69" t="s">
        <v>204</v>
      </c>
      <c r="D28" s="70"/>
      <c r="E28" s="39"/>
      <c r="F28" s="71"/>
    </row>
    <row r="29" spans="1:6" ht="60">
      <c r="A29" s="67">
        <v>27</v>
      </c>
      <c r="B29" s="40" t="s">
        <v>262</v>
      </c>
      <c r="C29" s="69" t="s">
        <v>204</v>
      </c>
      <c r="D29" s="70"/>
      <c r="E29" s="39"/>
      <c r="F29" s="71"/>
    </row>
    <row r="30" spans="1:6" ht="45">
      <c r="A30" s="67">
        <v>28</v>
      </c>
      <c r="B30" s="40" t="s">
        <v>263</v>
      </c>
      <c r="C30" s="69" t="s">
        <v>204</v>
      </c>
      <c r="D30" s="70"/>
      <c r="E30" s="39"/>
      <c r="F30" s="71"/>
    </row>
    <row r="31" spans="1:6" ht="45">
      <c r="A31" s="67">
        <v>29</v>
      </c>
      <c r="B31" s="40" t="s">
        <v>264</v>
      </c>
      <c r="C31" s="69" t="s">
        <v>204</v>
      </c>
      <c r="D31" s="70"/>
      <c r="E31" s="39"/>
      <c r="F31" s="71"/>
    </row>
    <row r="32" spans="1:6" ht="30">
      <c r="A32" s="67">
        <v>30</v>
      </c>
      <c r="B32" s="74" t="s">
        <v>265</v>
      </c>
      <c r="C32" s="69" t="s">
        <v>204</v>
      </c>
      <c r="D32" s="70"/>
      <c r="E32" s="39"/>
      <c r="F32" s="71"/>
    </row>
    <row r="33" spans="1:7">
      <c r="A33" s="24" t="s">
        <v>44</v>
      </c>
      <c r="B33" s="23"/>
      <c r="C33" s="67"/>
      <c r="D33" s="67"/>
      <c r="E33" s="67"/>
      <c r="F33" s="42">
        <f>TRUNC(SUM(F3:F32),2)</f>
        <v>0</v>
      </c>
    </row>
    <row r="34" spans="1:7">
      <c r="A34" s="150" t="s">
        <v>266</v>
      </c>
      <c r="B34" s="151"/>
      <c r="C34" s="151"/>
      <c r="D34" s="151"/>
      <c r="E34" s="152"/>
      <c r="F34" s="75">
        <f>TRUNC(F33*0.5%,2)</f>
        <v>0</v>
      </c>
      <c r="G34" s="76"/>
    </row>
    <row r="35" spans="1:7">
      <c r="A35" s="153" t="s">
        <v>267</v>
      </c>
      <c r="B35" s="153"/>
      <c r="C35" s="153"/>
      <c r="D35" s="153"/>
      <c r="E35" s="153"/>
      <c r="F35" s="77">
        <f>TRUNC(F33*(1-0.2)/(12*8))</f>
        <v>0</v>
      </c>
      <c r="G35" s="76"/>
    </row>
    <row r="36" spans="1:7">
      <c r="A36" s="153" t="s">
        <v>268</v>
      </c>
      <c r="B36" s="153"/>
      <c r="C36" s="153"/>
      <c r="D36" s="153"/>
      <c r="E36" s="153"/>
      <c r="F36" s="77">
        <f>TRUNC(SUM(F34:F35))</f>
        <v>0</v>
      </c>
    </row>
    <row r="37" spans="1:7">
      <c r="A37" s="153" t="s">
        <v>269</v>
      </c>
      <c r="B37" s="153"/>
      <c r="C37" s="153"/>
      <c r="D37" s="153"/>
      <c r="E37" s="153"/>
      <c r="F37" s="77" t="e">
        <f>TRUNC(F36/'Tipos de Área e Produtivida'!M20,2)</f>
        <v>#DIV/0!</v>
      </c>
    </row>
    <row r="39" spans="1:7">
      <c r="A39" s="148" t="s">
        <v>270</v>
      </c>
      <c r="B39" s="149"/>
      <c r="C39" s="149"/>
      <c r="D39" s="149"/>
      <c r="E39" s="149"/>
      <c r="F39" s="149"/>
    </row>
    <row r="40" spans="1:7">
      <c r="A40" s="149"/>
      <c r="B40" s="149"/>
      <c r="C40" s="149"/>
      <c r="D40" s="149"/>
      <c r="E40" s="149"/>
      <c r="F40" s="149"/>
    </row>
    <row r="41" spans="1:7">
      <c r="A41" s="149"/>
      <c r="B41" s="149"/>
      <c r="C41" s="149"/>
      <c r="D41" s="149"/>
      <c r="E41" s="149"/>
      <c r="F41" s="149"/>
    </row>
    <row r="42" spans="1:7">
      <c r="A42" s="149"/>
      <c r="B42" s="149"/>
      <c r="C42" s="149"/>
      <c r="D42" s="149"/>
      <c r="E42" s="149"/>
      <c r="F42" s="149"/>
    </row>
    <row r="43" spans="1:7">
      <c r="A43" s="149"/>
      <c r="B43" s="149"/>
      <c r="C43" s="149"/>
      <c r="D43" s="149"/>
      <c r="E43" s="149"/>
      <c r="F43" s="149"/>
    </row>
    <row r="44" spans="1:7">
      <c r="A44" s="149"/>
      <c r="B44" s="149"/>
      <c r="C44" s="149"/>
      <c r="D44" s="149"/>
      <c r="E44" s="149"/>
      <c r="F44" s="149"/>
    </row>
    <row r="45" spans="1:7">
      <c r="A45" s="149"/>
      <c r="B45" s="149"/>
      <c r="C45" s="149"/>
      <c r="D45" s="149"/>
      <c r="E45" s="149"/>
      <c r="F45" s="149"/>
    </row>
    <row r="46" spans="1:7">
      <c r="A46" s="149"/>
      <c r="B46" s="149"/>
      <c r="C46" s="149"/>
      <c r="D46" s="149"/>
      <c r="E46" s="149"/>
      <c r="F46" s="149"/>
    </row>
    <row r="47" spans="1:7">
      <c r="A47" s="149"/>
      <c r="B47" s="149"/>
      <c r="C47" s="149"/>
      <c r="D47" s="149"/>
      <c r="E47" s="149"/>
      <c r="F47" s="149"/>
    </row>
    <row r="48" spans="1:7" ht="33" customHeight="1">
      <c r="A48" s="149"/>
      <c r="B48" s="149"/>
      <c r="C48" s="149"/>
      <c r="D48" s="149"/>
      <c r="E48" s="149"/>
      <c r="F48" s="149"/>
    </row>
  </sheetData>
  <mergeCells count="6">
    <mergeCell ref="A39:F48"/>
    <mergeCell ref="A1:F1"/>
    <mergeCell ref="A34:E34"/>
    <mergeCell ref="A35:E35"/>
    <mergeCell ref="A36:E36"/>
    <mergeCell ref="A37:E37"/>
  </mergeCells>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topLeftCell="A32" workbookViewId="0">
      <selection activeCell="C44" sqref="C44:F50"/>
    </sheetView>
  </sheetViews>
  <sheetFormatPr defaultColWidth="9" defaultRowHeight="15"/>
  <cols>
    <col min="1" max="1" width="8.7109375" style="24" customWidth="1"/>
    <col min="2" max="2" width="60.140625" customWidth="1"/>
    <col min="3" max="3" width="9.5703125" customWidth="1"/>
    <col min="4" max="4" width="10.28515625" customWidth="1"/>
    <col min="5" max="5" width="12" customWidth="1"/>
    <col min="6" max="6" width="12.42578125" customWidth="1"/>
  </cols>
  <sheetData>
    <row r="2" spans="1:6">
      <c r="A2" s="144" t="s">
        <v>271</v>
      </c>
      <c r="B2" s="144"/>
      <c r="C2" s="144"/>
      <c r="D2" s="144"/>
      <c r="E2" s="144"/>
      <c r="F2" s="144"/>
    </row>
    <row r="3" spans="1:6" ht="60">
      <c r="A3" s="38" t="s">
        <v>2</v>
      </c>
      <c r="B3" s="38" t="s">
        <v>3</v>
      </c>
      <c r="C3" s="38" t="s">
        <v>197</v>
      </c>
      <c r="D3" s="38" t="s">
        <v>272</v>
      </c>
      <c r="E3" s="38" t="s">
        <v>273</v>
      </c>
      <c r="F3" s="38" t="s">
        <v>223</v>
      </c>
    </row>
    <row r="4" spans="1:6" ht="45">
      <c r="A4" s="39">
        <v>1</v>
      </c>
      <c r="B4" s="40" t="s">
        <v>274</v>
      </c>
      <c r="C4" s="38"/>
      <c r="D4" s="41"/>
      <c r="E4" s="38"/>
      <c r="F4" s="42"/>
    </row>
    <row r="5" spans="1:6" ht="60">
      <c r="A5" s="39">
        <v>2</v>
      </c>
      <c r="B5" s="40" t="s">
        <v>276</v>
      </c>
      <c r="C5" s="38"/>
      <c r="D5" s="41"/>
      <c r="E5" s="38"/>
      <c r="F5" s="42"/>
    </row>
    <row r="6" spans="1:6" ht="45">
      <c r="A6" s="39">
        <v>3</v>
      </c>
      <c r="B6" s="40" t="s">
        <v>277</v>
      </c>
      <c r="C6" s="38"/>
      <c r="D6" s="41"/>
      <c r="E6" s="38"/>
      <c r="F6" s="42"/>
    </row>
    <row r="7" spans="1:6" ht="60">
      <c r="A7" s="39">
        <v>4</v>
      </c>
      <c r="B7" s="40" t="s">
        <v>278</v>
      </c>
      <c r="C7" s="38"/>
      <c r="D7" s="41"/>
      <c r="E7" s="38"/>
      <c r="F7" s="42"/>
    </row>
    <row r="8" spans="1:6" ht="75">
      <c r="A8" s="39">
        <v>5</v>
      </c>
      <c r="B8" s="40" t="s">
        <v>279</v>
      </c>
      <c r="C8" s="38" t="s">
        <v>275</v>
      </c>
      <c r="D8" s="41"/>
      <c r="E8" s="38"/>
      <c r="F8" s="42"/>
    </row>
    <row r="9" spans="1:6" ht="45">
      <c r="A9" s="39">
        <v>6</v>
      </c>
      <c r="B9" s="40" t="s">
        <v>280</v>
      </c>
      <c r="C9" s="38" t="s">
        <v>204</v>
      </c>
      <c r="D9" s="41"/>
      <c r="E9" s="38"/>
      <c r="F9" s="42"/>
    </row>
    <row r="10" spans="1:6" ht="30">
      <c r="A10" s="39">
        <v>7</v>
      </c>
      <c r="B10" s="40" t="s">
        <v>281</v>
      </c>
      <c r="C10" s="38"/>
      <c r="D10" s="41"/>
      <c r="E10" s="38"/>
      <c r="F10" s="42"/>
    </row>
    <row r="11" spans="1:6" ht="60">
      <c r="A11" s="39">
        <v>8</v>
      </c>
      <c r="B11" s="40" t="s">
        <v>282</v>
      </c>
      <c r="C11" s="38"/>
      <c r="D11" s="41"/>
      <c r="E11" s="38"/>
      <c r="F11" s="42"/>
    </row>
    <row r="12" spans="1:6" ht="30">
      <c r="A12" s="39">
        <v>9</v>
      </c>
      <c r="B12" s="40" t="s">
        <v>283</v>
      </c>
      <c r="C12" s="38"/>
      <c r="D12" s="41"/>
      <c r="E12" s="38"/>
      <c r="F12" s="42"/>
    </row>
    <row r="13" spans="1:6" ht="45">
      <c r="A13" s="39">
        <v>10</v>
      </c>
      <c r="B13" s="40" t="s">
        <v>284</v>
      </c>
      <c r="C13" s="38"/>
      <c r="D13" s="41"/>
      <c r="E13" s="38"/>
      <c r="F13" s="42"/>
    </row>
    <row r="14" spans="1:6" ht="60">
      <c r="A14" s="39">
        <v>11</v>
      </c>
      <c r="B14" s="40" t="s">
        <v>285</v>
      </c>
      <c r="C14" s="38"/>
      <c r="D14" s="41"/>
      <c r="E14" s="38"/>
      <c r="F14" s="42"/>
    </row>
    <row r="15" spans="1:6" ht="45">
      <c r="A15" s="39">
        <v>12</v>
      </c>
      <c r="B15" s="40" t="s">
        <v>286</v>
      </c>
      <c r="C15" s="38"/>
      <c r="D15" s="41"/>
      <c r="E15" s="38"/>
      <c r="F15" s="42"/>
    </row>
    <row r="16" spans="1:6" ht="45">
      <c r="A16" s="39">
        <v>13</v>
      </c>
      <c r="B16" s="40" t="s">
        <v>287</v>
      </c>
      <c r="C16" s="38"/>
      <c r="D16" s="41"/>
      <c r="E16" s="38"/>
      <c r="F16" s="42"/>
    </row>
    <row r="17" spans="1:6" ht="45">
      <c r="A17" s="39">
        <v>14</v>
      </c>
      <c r="B17" s="40" t="s">
        <v>288</v>
      </c>
      <c r="C17" s="38"/>
      <c r="D17" s="41"/>
      <c r="E17" s="38"/>
      <c r="F17" s="42"/>
    </row>
    <row r="18" spans="1:6" ht="45">
      <c r="A18" s="39">
        <v>15</v>
      </c>
      <c r="B18" s="40" t="s">
        <v>289</v>
      </c>
      <c r="C18" s="38"/>
      <c r="D18" s="41"/>
      <c r="E18" s="38"/>
      <c r="F18" s="42"/>
    </row>
    <row r="19" spans="1:6" ht="30">
      <c r="A19" s="39">
        <v>16</v>
      </c>
      <c r="B19" s="40" t="s">
        <v>290</v>
      </c>
      <c r="C19" s="38"/>
      <c r="D19" s="41"/>
      <c r="E19" s="38"/>
      <c r="F19" s="42"/>
    </row>
    <row r="20" spans="1:6" ht="45">
      <c r="A20" s="39">
        <v>17</v>
      </c>
      <c r="B20" s="40" t="s">
        <v>291</v>
      </c>
      <c r="C20" s="38"/>
      <c r="D20" s="41"/>
      <c r="E20" s="38"/>
      <c r="F20" s="42"/>
    </row>
    <row r="21" spans="1:6" ht="45">
      <c r="A21" s="39">
        <v>18</v>
      </c>
      <c r="B21" s="40" t="s">
        <v>292</v>
      </c>
      <c r="C21" s="38"/>
      <c r="D21" s="41"/>
      <c r="E21" s="38"/>
      <c r="F21" s="42"/>
    </row>
    <row r="22" spans="1:6" ht="45">
      <c r="A22" s="39">
        <v>19</v>
      </c>
      <c r="B22" s="40" t="s">
        <v>294</v>
      </c>
      <c r="C22" s="38"/>
      <c r="D22" s="41"/>
      <c r="E22" s="38"/>
      <c r="F22" s="42"/>
    </row>
    <row r="23" spans="1:6" ht="45">
      <c r="A23" s="39">
        <v>20</v>
      </c>
      <c r="B23" s="40" t="s">
        <v>295</v>
      </c>
      <c r="C23" s="38" t="s">
        <v>293</v>
      </c>
      <c r="D23" s="41"/>
      <c r="E23" s="38"/>
      <c r="F23" s="42"/>
    </row>
    <row r="24" spans="1:6" ht="45">
      <c r="A24" s="39">
        <v>21</v>
      </c>
      <c r="B24" s="40" t="s">
        <v>296</v>
      </c>
      <c r="C24" s="38" t="s">
        <v>204</v>
      </c>
      <c r="D24" s="41"/>
      <c r="E24" s="38"/>
      <c r="F24" s="42"/>
    </row>
    <row r="25" spans="1:6" ht="60">
      <c r="A25" s="39">
        <v>22</v>
      </c>
      <c r="B25" s="40" t="s">
        <v>297</v>
      </c>
      <c r="C25" s="38" t="s">
        <v>204</v>
      </c>
      <c r="D25" s="41"/>
      <c r="E25" s="38"/>
      <c r="F25" s="42"/>
    </row>
    <row r="26" spans="1:6" ht="30">
      <c r="A26" s="39">
        <v>23</v>
      </c>
      <c r="B26" s="40" t="s">
        <v>298</v>
      </c>
      <c r="C26" s="38" t="s">
        <v>204</v>
      </c>
      <c r="D26" s="41"/>
      <c r="E26" s="38"/>
      <c r="F26" s="42"/>
    </row>
    <row r="27" spans="1:6" ht="28.5">
      <c r="A27" s="39">
        <v>24</v>
      </c>
      <c r="B27" s="43" t="s">
        <v>299</v>
      </c>
      <c r="C27" s="38" t="s">
        <v>275</v>
      </c>
      <c r="D27" s="41"/>
      <c r="E27" s="38"/>
      <c r="F27" s="42"/>
    </row>
    <row r="28" spans="1:6" ht="30">
      <c r="A28" s="39">
        <v>25</v>
      </c>
      <c r="B28" s="40" t="s">
        <v>300</v>
      </c>
      <c r="C28" s="38" t="s">
        <v>275</v>
      </c>
      <c r="D28" s="41"/>
      <c r="E28" s="38"/>
      <c r="F28" s="42"/>
    </row>
    <row r="29" spans="1:6" ht="28.5">
      <c r="A29" s="39">
        <v>26</v>
      </c>
      <c r="B29" s="43" t="s">
        <v>301</v>
      </c>
      <c r="C29" s="38" t="s">
        <v>275</v>
      </c>
      <c r="D29" s="41"/>
      <c r="E29" s="38"/>
      <c r="F29" s="42"/>
    </row>
    <row r="30" spans="1:6">
      <c r="A30" s="44" t="s">
        <v>44</v>
      </c>
      <c r="B30" s="44"/>
      <c r="C30" s="44"/>
      <c r="D30" s="44"/>
      <c r="E30" s="44"/>
      <c r="F30" s="45">
        <f>TRUNC(SUM(F4:F29),2)</f>
        <v>0</v>
      </c>
    </row>
    <row r="31" spans="1:6">
      <c r="A31" s="46"/>
      <c r="B31" s="47" t="s">
        <v>302</v>
      </c>
      <c r="C31" s="48"/>
      <c r="D31" s="48"/>
      <c r="E31" s="48"/>
      <c r="F31" s="49" t="e">
        <f>TRUNC(F30/'Tipos de Área e Produtivida'!M20,2)</f>
        <v>#DIV/0!</v>
      </c>
    </row>
    <row r="32" spans="1:6">
      <c r="A32" s="50"/>
      <c r="B32" s="51"/>
      <c r="C32" s="52"/>
      <c r="D32" s="52"/>
      <c r="E32" s="52"/>
      <c r="F32" s="52"/>
    </row>
    <row r="33" spans="1:6">
      <c r="A33" s="53"/>
      <c r="B33" s="54" t="s">
        <v>303</v>
      </c>
      <c r="C33" s="53"/>
      <c r="D33" s="53"/>
      <c r="E33" s="53"/>
      <c r="F33" s="53"/>
    </row>
    <row r="34" spans="1:6" ht="60">
      <c r="A34" s="36" t="s">
        <v>2</v>
      </c>
      <c r="B34" s="36" t="s">
        <v>3</v>
      </c>
      <c r="C34" s="36" t="s">
        <v>197</v>
      </c>
      <c r="D34" s="36" t="s">
        <v>272</v>
      </c>
      <c r="E34" s="36" t="s">
        <v>304</v>
      </c>
      <c r="F34" s="36" t="s">
        <v>305</v>
      </c>
    </row>
    <row r="35" spans="1:6" ht="45">
      <c r="A35" s="39">
        <v>27</v>
      </c>
      <c r="B35" s="40" t="s">
        <v>306</v>
      </c>
      <c r="C35" s="42"/>
      <c r="D35" s="41"/>
      <c r="E35" s="38"/>
      <c r="F35" s="42"/>
    </row>
    <row r="36" spans="1:6" ht="45">
      <c r="A36" s="39">
        <v>28</v>
      </c>
      <c r="B36" s="40" t="s">
        <v>307</v>
      </c>
      <c r="C36" s="55"/>
      <c r="D36" s="41"/>
      <c r="E36" s="38"/>
      <c r="F36" s="42"/>
    </row>
    <row r="37" spans="1:6">
      <c r="A37" s="39">
        <v>29</v>
      </c>
      <c r="B37" s="40" t="s">
        <v>308</v>
      </c>
      <c r="C37" s="55"/>
      <c r="D37" s="41"/>
      <c r="E37" s="38"/>
      <c r="F37" s="42"/>
    </row>
    <row r="38" spans="1:6">
      <c r="A38" s="39">
        <v>30</v>
      </c>
      <c r="B38" s="40" t="s">
        <v>309</v>
      </c>
      <c r="C38" s="42"/>
      <c r="D38" s="41"/>
      <c r="E38" s="38"/>
      <c r="F38" s="42"/>
    </row>
    <row r="39" spans="1:6">
      <c r="A39" s="39">
        <v>31</v>
      </c>
      <c r="B39" s="40" t="s">
        <v>310</v>
      </c>
      <c r="C39" s="42"/>
      <c r="D39" s="41"/>
      <c r="E39" s="38"/>
      <c r="F39" s="42"/>
    </row>
    <row r="40" spans="1:6">
      <c r="A40" s="39">
        <v>32</v>
      </c>
      <c r="B40" s="40" t="s">
        <v>311</v>
      </c>
      <c r="C40" s="42"/>
      <c r="D40" s="41"/>
      <c r="E40" s="38"/>
      <c r="F40" s="42"/>
    </row>
    <row r="41" spans="1:6">
      <c r="A41" s="39">
        <v>33</v>
      </c>
      <c r="B41" s="40" t="s">
        <v>312</v>
      </c>
      <c r="C41" s="55"/>
      <c r="D41" s="41"/>
      <c r="E41" s="38"/>
      <c r="F41" s="42"/>
    </row>
    <row r="42" spans="1:6">
      <c r="A42" s="39">
        <v>34</v>
      </c>
      <c r="B42" s="40" t="s">
        <v>313</v>
      </c>
      <c r="C42" s="55"/>
      <c r="D42" s="41"/>
      <c r="E42" s="38"/>
      <c r="F42" s="42"/>
    </row>
    <row r="43" spans="1:6" ht="45">
      <c r="A43" s="39">
        <v>35</v>
      </c>
      <c r="B43" s="40" t="s">
        <v>231</v>
      </c>
      <c r="C43" s="55"/>
      <c r="D43" s="41"/>
      <c r="E43" s="38"/>
      <c r="F43" s="42"/>
    </row>
    <row r="44" spans="1:6">
      <c r="A44" s="39">
        <v>36</v>
      </c>
      <c r="B44" s="40" t="s">
        <v>314</v>
      </c>
      <c r="C44" s="55"/>
      <c r="D44" s="41"/>
      <c r="E44" s="38"/>
      <c r="F44" s="42"/>
    </row>
    <row r="45" spans="1:6">
      <c r="A45" s="39">
        <v>37</v>
      </c>
      <c r="B45" s="40" t="s">
        <v>315</v>
      </c>
      <c r="C45" s="55"/>
      <c r="D45" s="41"/>
      <c r="E45" s="38"/>
      <c r="F45" s="42"/>
    </row>
    <row r="46" spans="1:6" ht="45">
      <c r="A46" s="39">
        <v>38</v>
      </c>
      <c r="B46" s="40" t="s">
        <v>316</v>
      </c>
      <c r="C46" s="55"/>
      <c r="D46" s="41"/>
      <c r="E46" s="38"/>
      <c r="F46" s="42"/>
    </row>
    <row r="47" spans="1:6">
      <c r="A47" s="39">
        <v>39</v>
      </c>
      <c r="B47" s="40" t="s">
        <v>317</v>
      </c>
      <c r="C47" s="55"/>
      <c r="D47" s="41"/>
      <c r="E47" s="38"/>
      <c r="F47" s="42"/>
    </row>
    <row r="48" spans="1:6">
      <c r="A48" s="39">
        <v>40</v>
      </c>
      <c r="B48" s="40" t="s">
        <v>318</v>
      </c>
      <c r="C48" s="55"/>
      <c r="D48" s="41"/>
      <c r="E48" s="38"/>
      <c r="F48" s="42"/>
    </row>
    <row r="49" spans="1:6">
      <c r="A49" s="39">
        <v>41</v>
      </c>
      <c r="B49" s="40" t="s">
        <v>319</v>
      </c>
      <c r="C49" s="55"/>
      <c r="D49" s="41"/>
      <c r="E49" s="38"/>
      <c r="F49" s="42"/>
    </row>
    <row r="50" spans="1:6" ht="30">
      <c r="A50" s="39">
        <v>42</v>
      </c>
      <c r="B50" s="40" t="s">
        <v>320</v>
      </c>
      <c r="C50" s="55"/>
      <c r="D50" s="41"/>
      <c r="E50" s="38"/>
      <c r="F50" s="42"/>
    </row>
    <row r="51" spans="1:6">
      <c r="A51" s="44" t="s">
        <v>44</v>
      </c>
      <c r="B51" s="44"/>
      <c r="C51" s="44"/>
      <c r="D51" s="44"/>
      <c r="E51" s="44"/>
      <c r="F51" s="45">
        <f>TRUNC(SUM(F35:F50),2)</f>
        <v>0</v>
      </c>
    </row>
    <row r="52" spans="1:6">
      <c r="A52" s="56"/>
      <c r="B52" s="56" t="s">
        <v>321</v>
      </c>
      <c r="C52" s="56"/>
      <c r="D52" s="44"/>
      <c r="E52" s="44"/>
      <c r="F52" s="57">
        <f>TRUNC(F51/6,2)</f>
        <v>0</v>
      </c>
    </row>
    <row r="53" spans="1:6">
      <c r="A53" s="58"/>
      <c r="B53" s="59" t="s">
        <v>302</v>
      </c>
      <c r="C53" s="60"/>
      <c r="D53" s="44"/>
      <c r="E53" s="44"/>
      <c r="F53" s="61" t="e">
        <f>TRUNC(F52/'Tipos de Área e Produtivida'!M20,2)</f>
        <v>#DIV/0!</v>
      </c>
    </row>
    <row r="55" spans="1:6">
      <c r="A55" s="62"/>
      <c r="B55" s="63" t="s">
        <v>322</v>
      </c>
      <c r="C55" s="64"/>
      <c r="D55" s="65"/>
      <c r="E55" s="65"/>
      <c r="F55" s="66" t="e">
        <f>TRUNC(SUM(F31,F53),2)</f>
        <v>#DIV/0!</v>
      </c>
    </row>
  </sheetData>
  <mergeCells count="1">
    <mergeCell ref="A2:F2"/>
  </mergeCells>
  <hyperlinks>
    <hyperlink ref="B27" r:id="rId1" tooltip="https://www.google.com.br/url?sa=i&amp;rct=j&amp;q=&amp;esrc=s&amp;source=images&amp;cd=&amp;ved=0ahUKEwjpsqHX6d7MAhVBF5AKHXDhCV8QjhwIBQ&amp;url=http://www.ateliesonhoselembrancas.com.br/sabonete-liquido-pronto-1-litro.html&amp;psig=AFQjCNHtLNBkHnjz_pFLCTKg6ulyOsIRzQ&amp;ust=146349602454521"/>
    <hyperlink ref="B29" r:id="rId2" tooltip="https://www.jocar.com.br/Produto.aspx?CG=18&amp;CSG=34&amp;CP=704023"/>
  </hyperlinks>
  <pageMargins left="0.7" right="0.7" top="0.75" bottom="0.75" header="0.3" footer="0.3"/>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topLeftCell="A31" zoomScale="85" zoomScaleNormal="85" workbookViewId="0">
      <selection activeCell="D40" sqref="D40"/>
    </sheetView>
  </sheetViews>
  <sheetFormatPr defaultColWidth="9" defaultRowHeight="15"/>
  <cols>
    <col min="2" max="2" width="68.42578125" style="23" customWidth="1"/>
    <col min="3" max="3" width="43.28515625" customWidth="1"/>
    <col min="4" max="4" width="27.85546875" customWidth="1"/>
  </cols>
  <sheetData>
    <row r="1" spans="1:4">
      <c r="A1" s="154" t="s">
        <v>323</v>
      </c>
      <c r="B1" s="154"/>
      <c r="C1" s="154"/>
      <c r="D1" s="154"/>
    </row>
    <row r="2" spans="1:4">
      <c r="A2" t="s">
        <v>2</v>
      </c>
      <c r="B2" s="23" t="s">
        <v>3</v>
      </c>
      <c r="C2" t="s">
        <v>324</v>
      </c>
      <c r="D2" t="s">
        <v>325</v>
      </c>
    </row>
    <row r="3" spans="1:4" ht="15" customHeight="1">
      <c r="A3" s="25">
        <v>1</v>
      </c>
      <c r="B3" s="26" t="s">
        <v>326</v>
      </c>
      <c r="C3" s="27" t="s">
        <v>327</v>
      </c>
      <c r="D3" s="28">
        <v>1060.8900000000001</v>
      </c>
    </row>
    <row r="4" spans="1:4">
      <c r="A4" s="29">
        <v>2</v>
      </c>
      <c r="B4" s="30" t="s">
        <v>328</v>
      </c>
      <c r="C4" s="30" t="s">
        <v>327</v>
      </c>
      <c r="D4" s="31">
        <v>299.58999999999997</v>
      </c>
    </row>
    <row r="5" spans="1:4">
      <c r="A5" s="25">
        <v>3</v>
      </c>
      <c r="B5" s="27" t="s">
        <v>329</v>
      </c>
      <c r="C5" s="27" t="s">
        <v>330</v>
      </c>
      <c r="D5" s="28">
        <v>2218.23</v>
      </c>
    </row>
    <row r="6" spans="1:4">
      <c r="A6" s="29">
        <v>4</v>
      </c>
      <c r="B6" s="30" t="s">
        <v>331</v>
      </c>
      <c r="C6" s="30" t="s">
        <v>327</v>
      </c>
      <c r="D6" s="31">
        <v>565.19000000000005</v>
      </c>
    </row>
    <row r="7" spans="1:4">
      <c r="A7" s="25">
        <v>5</v>
      </c>
      <c r="B7" s="27" t="s">
        <v>332</v>
      </c>
      <c r="C7" s="27" t="s">
        <v>327</v>
      </c>
      <c r="D7" s="28">
        <v>439.86</v>
      </c>
    </row>
    <row r="8" spans="1:4">
      <c r="A8" s="29">
        <v>6</v>
      </c>
      <c r="B8" s="30" t="s">
        <v>333</v>
      </c>
      <c r="C8" s="30" t="s">
        <v>327</v>
      </c>
      <c r="D8" s="31">
        <v>690.82</v>
      </c>
    </row>
    <row r="9" spans="1:4">
      <c r="A9" s="25">
        <v>7</v>
      </c>
      <c r="B9" s="27" t="s">
        <v>334</v>
      </c>
      <c r="C9" s="27" t="s">
        <v>335</v>
      </c>
      <c r="D9" s="28">
        <v>181.42</v>
      </c>
    </row>
    <row r="10" spans="1:4">
      <c r="A10" s="29">
        <v>8</v>
      </c>
      <c r="B10" s="30" t="s">
        <v>336</v>
      </c>
      <c r="C10" s="30" t="s">
        <v>327</v>
      </c>
      <c r="D10" s="31">
        <v>2287.04</v>
      </c>
    </row>
    <row r="11" spans="1:4">
      <c r="A11" s="25">
        <v>9</v>
      </c>
      <c r="B11" s="27" t="s">
        <v>337</v>
      </c>
      <c r="C11" s="27" t="s">
        <v>330</v>
      </c>
      <c r="D11" s="28">
        <v>127.68</v>
      </c>
    </row>
    <row r="12" spans="1:4">
      <c r="A12" s="29">
        <v>10</v>
      </c>
      <c r="B12" s="30" t="s">
        <v>338</v>
      </c>
      <c r="C12" s="30" t="s">
        <v>327</v>
      </c>
      <c r="D12" s="31">
        <v>865.65</v>
      </c>
    </row>
    <row r="13" spans="1:4">
      <c r="A13" s="25">
        <v>11</v>
      </c>
      <c r="B13" s="27" t="s">
        <v>339</v>
      </c>
      <c r="C13" s="27" t="s">
        <v>327</v>
      </c>
      <c r="D13" s="28">
        <v>868.99</v>
      </c>
    </row>
    <row r="14" spans="1:4">
      <c r="A14" s="29">
        <v>12</v>
      </c>
      <c r="B14" s="30" t="s">
        <v>340</v>
      </c>
      <c r="C14" s="30" t="s">
        <v>327</v>
      </c>
      <c r="D14" s="31">
        <v>1719.09</v>
      </c>
    </row>
    <row r="15" spans="1:4">
      <c r="A15" s="25">
        <v>13</v>
      </c>
      <c r="B15" s="27" t="s">
        <v>341</v>
      </c>
      <c r="C15" s="27" t="s">
        <v>327</v>
      </c>
      <c r="D15" s="28">
        <v>500.13</v>
      </c>
    </row>
    <row r="16" spans="1:4">
      <c r="A16" s="29">
        <v>14</v>
      </c>
      <c r="B16" s="30" t="s">
        <v>342</v>
      </c>
      <c r="C16" s="30" t="s">
        <v>327</v>
      </c>
      <c r="D16" s="31">
        <v>329.76</v>
      </c>
    </row>
    <row r="17" spans="1:4">
      <c r="A17" s="25">
        <v>15</v>
      </c>
      <c r="B17" s="27" t="s">
        <v>343</v>
      </c>
      <c r="C17" s="27" t="s">
        <v>327</v>
      </c>
      <c r="D17" s="28">
        <v>311.91000000000003</v>
      </c>
    </row>
    <row r="18" spans="1:4">
      <c r="A18" s="29">
        <v>16</v>
      </c>
      <c r="B18" s="30" t="s">
        <v>344</v>
      </c>
      <c r="C18" s="30" t="s">
        <v>327</v>
      </c>
      <c r="D18" s="31">
        <v>369.15</v>
      </c>
    </row>
    <row r="19" spans="1:4">
      <c r="A19" s="25">
        <v>17</v>
      </c>
      <c r="B19" s="27" t="s">
        <v>345</v>
      </c>
      <c r="C19" s="27" t="s">
        <v>327</v>
      </c>
      <c r="D19" s="28">
        <v>674.03</v>
      </c>
    </row>
    <row r="20" spans="1:4">
      <c r="A20" s="29">
        <v>18</v>
      </c>
      <c r="B20" s="30" t="s">
        <v>346</v>
      </c>
      <c r="C20" s="30" t="s">
        <v>327</v>
      </c>
      <c r="D20" s="31">
        <v>831.97</v>
      </c>
    </row>
    <row r="21" spans="1:4">
      <c r="A21" s="25">
        <v>19</v>
      </c>
      <c r="B21" s="27" t="s">
        <v>347</v>
      </c>
      <c r="C21" s="27" t="s">
        <v>327</v>
      </c>
      <c r="D21" s="28">
        <v>1060.21</v>
      </c>
    </row>
    <row r="22" spans="1:4" ht="15" customHeight="1">
      <c r="A22" s="29">
        <v>20</v>
      </c>
      <c r="B22" s="30" t="s">
        <v>348</v>
      </c>
      <c r="C22" s="30" t="s">
        <v>327</v>
      </c>
      <c r="D22" s="31">
        <v>50.17</v>
      </c>
    </row>
    <row r="23" spans="1:4">
      <c r="A23" s="25">
        <v>21</v>
      </c>
      <c r="B23" s="27" t="s">
        <v>349</v>
      </c>
      <c r="C23" s="27" t="s">
        <v>350</v>
      </c>
      <c r="D23" s="28">
        <v>1477.25</v>
      </c>
    </row>
    <row r="24" spans="1:4">
      <c r="A24" s="29">
        <v>22</v>
      </c>
      <c r="B24" s="30" t="s">
        <v>351</v>
      </c>
      <c r="C24" s="30" t="s">
        <v>350</v>
      </c>
      <c r="D24" s="31">
        <v>1767.87</v>
      </c>
    </row>
    <row r="25" spans="1:4">
      <c r="A25" s="25">
        <v>23</v>
      </c>
      <c r="B25" s="27" t="s">
        <v>352</v>
      </c>
      <c r="C25" s="27" t="s">
        <v>327</v>
      </c>
      <c r="D25" s="28">
        <v>24.12</v>
      </c>
    </row>
    <row r="26" spans="1:4">
      <c r="A26" s="29">
        <v>24</v>
      </c>
      <c r="B26" s="30" t="s">
        <v>353</v>
      </c>
      <c r="C26" s="26" t="s">
        <v>327</v>
      </c>
      <c r="D26" s="31">
        <v>42.63</v>
      </c>
    </row>
    <row r="27" spans="1:4">
      <c r="A27" s="25">
        <v>25</v>
      </c>
      <c r="B27" s="27" t="s">
        <v>354</v>
      </c>
      <c r="C27" s="27" t="s">
        <v>327</v>
      </c>
      <c r="D27" s="28">
        <v>10.88</v>
      </c>
    </row>
    <row r="28" spans="1:4">
      <c r="A28" s="29">
        <v>26</v>
      </c>
      <c r="B28" s="30" t="s">
        <v>355</v>
      </c>
      <c r="C28" s="30" t="s">
        <v>327</v>
      </c>
      <c r="D28" s="31">
        <v>84.07</v>
      </c>
    </row>
    <row r="29" spans="1:4">
      <c r="A29" s="25">
        <v>27</v>
      </c>
      <c r="B29" s="32" t="s">
        <v>356</v>
      </c>
      <c r="C29" s="32" t="s">
        <v>350</v>
      </c>
      <c r="D29" s="28">
        <v>192.83</v>
      </c>
    </row>
    <row r="30" spans="1:4">
      <c r="A30" s="29">
        <v>28</v>
      </c>
      <c r="B30" s="30" t="s">
        <v>357</v>
      </c>
      <c r="C30" s="30" t="s">
        <v>327</v>
      </c>
      <c r="D30" s="31">
        <v>491.48</v>
      </c>
    </row>
    <row r="31" spans="1:4">
      <c r="A31" s="25">
        <v>29</v>
      </c>
      <c r="B31" s="23" t="s">
        <v>358</v>
      </c>
      <c r="C31" s="26" t="s">
        <v>327</v>
      </c>
      <c r="D31" s="28">
        <v>1664.76</v>
      </c>
    </row>
    <row r="32" spans="1:4">
      <c r="A32" s="29">
        <v>30</v>
      </c>
      <c r="B32" s="23" t="s">
        <v>359</v>
      </c>
      <c r="C32" s="33" t="s">
        <v>335</v>
      </c>
      <c r="D32" s="31">
        <v>310.04000000000002</v>
      </c>
    </row>
    <row r="33" spans="1:4">
      <c r="A33" s="25">
        <v>31</v>
      </c>
      <c r="B33" s="23" t="s">
        <v>360</v>
      </c>
      <c r="C33" s="33" t="s">
        <v>350</v>
      </c>
      <c r="D33" s="28">
        <v>417.57</v>
      </c>
    </row>
    <row r="34" spans="1:4">
      <c r="A34" s="29">
        <v>32</v>
      </c>
      <c r="B34" s="23" t="s">
        <v>361</v>
      </c>
      <c r="C34" s="34" t="s">
        <v>362</v>
      </c>
      <c r="D34" s="31">
        <v>730.99</v>
      </c>
    </row>
    <row r="35" spans="1:4">
      <c r="A35" s="25">
        <v>33</v>
      </c>
      <c r="B35" s="23" t="s">
        <v>363</v>
      </c>
      <c r="C35" s="26" t="s">
        <v>327</v>
      </c>
      <c r="D35" s="28">
        <v>355.6</v>
      </c>
    </row>
    <row r="36" spans="1:4">
      <c r="A36" s="29">
        <v>34</v>
      </c>
      <c r="B36" s="23" t="s">
        <v>364</v>
      </c>
      <c r="C36" s="26" t="s">
        <v>327</v>
      </c>
      <c r="D36" s="31">
        <v>1066.8</v>
      </c>
    </row>
    <row r="37" spans="1:4">
      <c r="A37" s="25">
        <v>35</v>
      </c>
      <c r="B37" s="23" t="s">
        <v>365</v>
      </c>
      <c r="C37" s="26" t="s">
        <v>366</v>
      </c>
      <c r="D37" s="28">
        <v>270</v>
      </c>
    </row>
    <row r="38" spans="1:4">
      <c r="A38" s="29">
        <v>36</v>
      </c>
      <c r="B38" s="34" t="s">
        <v>366</v>
      </c>
      <c r="C38" s="26" t="s">
        <v>366</v>
      </c>
      <c r="D38" s="31">
        <v>7745</v>
      </c>
    </row>
    <row r="39" spans="1:4">
      <c r="A39" s="25">
        <v>37</v>
      </c>
      <c r="B39" s="34" t="s">
        <v>367</v>
      </c>
      <c r="C39" s="26" t="s">
        <v>367</v>
      </c>
      <c r="D39" s="28">
        <v>599.76</v>
      </c>
    </row>
    <row r="40" spans="1:4">
      <c r="A40" s="29">
        <v>38</v>
      </c>
      <c r="B40" s="30" t="s">
        <v>368</v>
      </c>
      <c r="C40" s="30" t="s">
        <v>368</v>
      </c>
      <c r="D40" s="31">
        <v>1128</v>
      </c>
    </row>
    <row r="41" spans="1:4">
      <c r="A41" s="25">
        <v>39</v>
      </c>
      <c r="B41" s="34" t="s">
        <v>369</v>
      </c>
      <c r="C41" s="4" t="s">
        <v>369</v>
      </c>
      <c r="D41" s="28">
        <v>16170</v>
      </c>
    </row>
    <row r="42" spans="1:4">
      <c r="A42" s="29">
        <v>40</v>
      </c>
      <c r="B42" s="30" t="s">
        <v>362</v>
      </c>
      <c r="C42" s="30" t="s">
        <v>362</v>
      </c>
      <c r="D42" s="31">
        <v>8840</v>
      </c>
    </row>
    <row r="43" spans="1:4">
      <c r="A43" s="35" t="s">
        <v>179</v>
      </c>
      <c r="B43" s="36"/>
      <c r="C43" s="35"/>
      <c r="D43" s="37">
        <f>TRUNC(SUM(D3:D42),2)</f>
        <v>58841.43</v>
      </c>
    </row>
  </sheetData>
  <mergeCells count="1">
    <mergeCell ref="A1:D1"/>
  </mergeCells>
  <pageMargins left="0.7" right="0.7" top="0.75" bottom="0.75" header="0.3" footer="0.3"/>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 T a b l e 3 < / 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P o w e r P i v o t V e r s i o n " > < C u s t o m C o n t e n t > < ! [ C D A T A [ 2 0 1 5 . 1 3 0 . 8 0 0 . 9 5 8 ] ] > < / C u s t o m C o n t e n t > < / G e m i n i > 
</file>

<file path=customXml/item11.xml>��< ? x m l   v e r s i o n = " 1 . 0 "   e n c o d i n g = " U T F - 1 6 " ? > < G e m i n i   x m l n s = " h t t p : / / g e m i n i / p i v o t c u s t o m i z a t i o n / I s S a n d b o x E m b e d d e d " > < C u s t o m C o n t e n t > < ! [ C D A T A [ y e s ] ] > < / C u s t o m C o n t e n t > < / G e m i n i > 
</file>

<file path=customXml/item12.xml>��< ? x m l   v e r s i o n = " 1 . 0 "   e n c o d i n g = " U T F - 1 6 " ? > < G e m i n i   x m l n s = " h t t p : / / g e m i n i / p i v o t c u s t o m i z a t i o n / S h o w H i d d e n " > < C u s t o m C o n t e n t > < ! [ C D A T A [ T r u e ] ] > < / 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 C o l u m n s \ D e s c r i � � o < / K e y > < / a : K e y > < a : V a l u e   i : t y p e = " T a b l e W i d g e t B a s e V i e w S t a t e " / > < / a : K e y V a l u e O f D i a g r a m O b j e c t K e y a n y T y p e z b w N T n L X > < a : K e y V a l u e O f D i a g r a m O b j e c t K e y a n y T y p e z b w N T n L X > < a : K e y > < K e y > C o l u m n s \ T i p o < / K e y > < / a : K e y > < a : V a l u e   i : t y p e = " T a b l e W i d g e t B a s e V i e w S t a t e " / > < / a : K e y V a l u e O f D i a g r a m O b j e c t K e y a n y T y p e z b w N T n L X > < a : K e y V a l u e O f D i a g r a m O b j e c t K e y a n y T y p e z b w N T n L X > < a : K e y > < K e y > C o l u m n s \ Q u a n t i d a d e < / K e y > < / a : K e y > < a : V a l u e   i : t y p e = " T a b l e W i d g e t B a s e V i e w S t a t e " / > < / a : K e y V a l u e O f D i a g r a m O b j e c t K e y a n y T y p e z b w N T n L X > < a : K e y V a l u e O f D i a g r a m O b j e c t K e y a n y T y p e z b w N T n L X > < a : K e y > < K e y > C o l u m n s \ F r e q u � n c i a   n o   m � s / s e m e s t r e < / K e y > < / a : K e y > < a : V a l u e   i : t y p e = " T a b l e W i d g e t B a s e V i e w S t a t e " / > < / a : K e y V a l u e O f D i a g r a m O b j e c t K e y a n y T y p e z b w N T n L X > < a : K e y V a l u e O f D i a g r a m O b j e c t K e y a n y T y p e z b w N T n L X > < a : K e y > < K e y > C o l u m n s \ J o r n a d a   d e   T r a b a l h o   n o   m � s / S e m e s t r e < / K e y > < / a : K e y > < a : V a l u e   i : t y p e = " T a b l e W i d g e t B a s e V i e w S t a t e " / > < / a : K e y V a l u e O f D i a g r a m O b j e c t K e y a n y T y p e z b w N T n L X > < a : K e y V a l u e O f D i a g r a m O b j e c t K e y a n y T y p e z b w N T n L X > < a : K e y > < K e y > C o l u m n s \ P r o d u t i v i d a d e   M � n i m a < / K e y > < / a : K e y > < a : V a l u e   i : t y p e = " T a b l e W i d g e t B a s e V i e w S t a t e " / > < / a : K e y V a l u e O f D i a g r a m O b j e c t K e y a n y T y p e z b w N T n L X > < a : K e y V a l u e O f D i a g r a m O b j e c t K e y a n y T y p e z b w N T n L X > < a : K e y > < K e y > C o l u m n s \ P r o d u t i v i d a d e   M � x i m a < / K e y > < / a : K e y > < a : V a l u e   i : t y p e = " T a b l e W i d g e t B a s e V i e w S t a t e " / > < / a : K e y V a l u e O f D i a g r a m O b j e c t K e y a n y T y p e z b w N T n L X > < a : K e y V a l u e O f D i a g r a m O b j e c t K e y a n y T y p e z b w N T n L X > < a : K e y > < K e y > C o l u m n s \ P r o d u t i v i d a d e   M � d i a < / K e y > < / a : K e y > < a : V a l u e   i : t y p e = " T a b l e W i d g e t B a s e V i e w S t a t e " / > < / a : K e y V a l u e O f D i a g r a m O b j e c t K e y a n y T y p e z b w N T n L X > < a : K e y V a l u e O f D i a g r a m O b j e c t K e y a n y T y p e z b w N T n L X > < a : K e y > < K e y > C o l u m n s \ P r o d u t i v i d a d e   P e r s o n a l i z a d a < / K e y > < / a : K e y > < a : V a l u e   i : t y p e = " T a b l e W i d g e t B a s e V i e w S t a t e " / > < / a : K e y V a l u e O f D i a g r a m O b j e c t K e y a n y T y p e z b w N T n L X > < a : K e y V a l u e O f D i a g r a m O b j e c t K e y a n y T y p e z b w N T n L X > < a : K e y > < K e y > C o l u m n s \ K i < / K e y > < / a : K e y > < a : V a l u e   i : t y p e = " T a b l e W i d g e t B a s e V i e w S t a t e " / > < / a : K e y V a l u e O f D i a g r a m O b j e c t K e y a n y T y p e z b w N T n L X > < a : K e y V a l u e O f D i a g r a m O b j e c t K e y a n y T y p e z b w N T n L X > < a : K e y > < K e y > C o l u m n s \ Q t d e .   S e r v e n t e s < / K e y > < / a : K e y > < a : V a l u e   i : t y p e = " T a b l e W i d g e t B a s e V i e w S t a t e " / > < / a : K e y V a l u e O f D i a g r a m O b j e c t K e y a n y T y p e z b w N T n L X > < a : K e y V a l u e O f D i a g r a m O b j e c t K e y a n y T y p e z b w N T n L X > < a : K e y > < K e y > C o l u m n s \ K i   a j u s t a d o < / K e y > < / a : K e y > < a : V a l u e   i : t y p e = " T a b l e W i d g e t B a s e V i e w S t a t e " / > < / a : K e y V a l u e O f D i a g r a m O b j e c t K e y a n y T y p e z b w N T n L X > < a : K e y V a l u e O f D i a g r a m O b j e c t K e y a n y T y p e z b w N T n L X > < a : K e y > < K e y > C o l u m n s \ Q t e   a j u s t a d a < / K e y > < / a : K e y > < a : V a l u e   i : t y p e = " T a b l e W i d g e t B a s e V i e w S t a t e " / > < / a : K e y V a l u e O f D i a g r a m O b j e c t K e y a n y T y p e z b w N T n L X > < a : K e y V a l u e O f D i a g r a m O b j e c t K e y a n y T y p e z b w N T n L X > < a : K e y > < K e y > C o l u m n s \ P r o d u t i v i d a d e < / 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D a t a M a s h u p   s q m i d = " e 2 a 4 9 9 5 0 - 3 2 8 9 - 4 a 8 a - 8 9 5 b - 5 3 c 5 1 3 3 4 b 7 5 1 "   x m l n s = " h t t p : / / s c h e m a s . m i c r o s o f t . c o m / D a t a M a s h u p " > A A A A A B Y D A A B Q S w M E F A A C A A g A y A h Y T s z Z p g S m A A A A + A A A A B I A H A B D b 2 5 m a W c v U G F j a 2 F n Z S 5 4 b W w g o h g A K K A U A A A A A A A A A A A A A A A A A A A A A A A A A A A A h Y / N C o J A G E V f R W b v / C i G y O c I t U 2 I g m g 7 j J M O 6 S j O m L 5 b i x 6 p V 0 g o q 1 3 L e z i L c x + 3 O 2 R T U 3 t X 1 V v d m h Q x T J G n j G w L b c o U D e 7 s x y j j s B P y I k r l z b K x y W S L F F X O d Q k h 4 z j i M c R t X 5 K A U k Z O + f Y g K 9 U I 9 J H 1 f 9 n X x j p h p E I c j q 8 Y H u B V h K O Q h Z j F D M i C I d f m q w R z M a Z A f i B s h t o N v e K d 8 9 d 7 I M s E 8 n 7 B n 1 B L A w Q U A A I A C A D I C F h 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A h Y T i i K R 7 g O A A A A E Q A A A B M A H A B G b 3 J t d W x h c y 9 T Z W N 0 a W 9 u M S 5 t I K I Y A C i g F A A A A A A A A A A A A A A A A A A A A A A A A A A A A C t O T S 7 J z M 9 T C I b Q h t Y A U E s B A i 0 A F A A C A A g A y A h Y T s z Z p g S m A A A A + A A A A B I A A A A A A A A A A A A A A A A A A A A A A E N v b m Z p Z y 9 Q Y W N r Y W d l L n h t b F B L A Q I t A B Q A A g A I A M g I W E 4 P y u m r p A A A A O k A A A A T A A A A A A A A A A A A A A A A A P I A A A B b Q 2 9 u d G V u d F 9 U e X B l c 1 0 u e G 1 s U E s B A i 0 A F A A C A A g A y A h Y 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t h z y a I / h t C p d F H y o F 5 j w w A A A A A A g A A A A A A E G Y A A A A B A A A g A A A A 3 7 M m + 8 3 8 3 3 9 e P c d k A P 1 i B T + D w a I V n 4 + W + q t 3 X z F y 0 8 U A A A A A D o A A A A A C A A A g A A A A S o N 8 V a H s b r 0 o R L r a M 5 S d Z C f C 8 7 4 o u d E H T y P h o v D + + b 1 Q A A A A O 8 T X n P O o k 6 M o V w g b L 4 t X i Q z 2 3 7 j e J H C Y 4 n i L h 6 1 5 S 7 / P H E m 8 V l z Q u U e m l o R R A f s g 7 6 m U K j K s o m + o u 7 P 4 g G U a 5 C z 0 H A / L Y t B a T Z N T 7 g Q b v h V A A A A A d E z x s j J U 1 a 7 f p b r g d y f V N 7 1 y u G O / + g I O T d e h W n c W 7 / X X W S 1 n 3 I i Y d N y j 1 n U H y F 5 U x g f X V v o F w / f t t z a O w k o e X A = = < / D a t a M a s h u p > 
</file>

<file path=customXml/item15.xml>��< ? x m l   v e r s i o n = " 1 . 0 "   e n c o d i n g = " U T F - 1 6 " ? > < G e m i n i   x m l n s = " h t t p : / / g e m i n i / p i v o t c u s t o m i z a t i o n / T a b l e O r d e r " > < C u s t o m C o n t e n t > < ! [ C D A T A [ T a b l e 3 ] ] > < / 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 2 0 1 9 - 0 2 - 2 4 T 0 9 : 4 5 : 1 6 . 4 5 6 9 3 8 4 - 0 3 : 0 0 < / L a s t P r o c e s s e d T i m e > < / D a t a M o d e l i n g S a n d b o x . S e r i a l i z e d S a n d b o x E r r o r C a c h 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M a n u a l C a l c M o d e " > < C u s t o m C o n t e n t > < ! [ C D A T A [ F a l s e ] ] > < / C u s t o m C o n t e n t > < / G e m i n i > 
</file>

<file path=customXml/item5.xml>��< ? x m l   v e r s i o n = " 1 . 0 "   e n c o d i n g = " U T F - 1 6 " ? > < G e m i n i   x m l n s = " h t t p : / / g e m i n i / p i v o t c u s t o m i z a t i o n / T a b l e X M L _ T a b l e 3 " > < C u s t o m C o n t e n t > < ! [ C D A T A [ < T a b l e W i d g e t G r i d S e r i a l i z a t i o n   x m l n s : x s d = " h t t p : / / w w w . w 3 . o r g / 2 0 0 1 / X M L S c h e m a "   x m l n s : x s i = " h t t p : / / w w w . w 3 . o r g / 2 0 0 1 / X M L S c h e m a - i n s t a n c e " > < C o l u m n S u g g e s t e d T y p e   / > < C o l u m n F o r m a t   / > < C o l u m n A c c u r a c y   / > < C o l u m n C u r r e n c y S y m b o l   / > < C o l u m n P o s i t i v e P a t t e r n   / > < C o l u m n N e g a t i v e P a t t e r n   / > < C o l u m n W i d t h s > < i t e m > < k e y > < s t r i n g > D e s c r i � � o < / s t r i n g > < / k e y > < v a l u e > < i n t > 2 5 2 < / i n t > < / v a l u e > < / i t e m > < i t e m > < k e y > < s t r i n g > T i p o < / s t r i n g > < / k e y > < v a l u e > < i n t > 6 3 < / i n t > < / v a l u e > < / i t e m > < i t e m > < k e y > < s t r i n g > Q u a n t i d a d e < / s t r i n g > < / k e y > < v a l u e > < i n t > 1 0 8 < / i n t > < / v a l u e > < / i t e m > < i t e m > < k e y > < s t r i n g > F r e q u � n c i a   n o   m � s / s e m e s t r e < / s t r i n g > < / k e y > < v a l u e > < i n t > 1 4 6 < / i n t > < / v a l u e > < / i t e m > < i t e m > < k e y > < s t r i n g > J o r n a d a   d e   T r a b a l h o   n o   m � s / S e m e s t r e < / s t r i n g > < / k e y > < v a l u e > < i n t > 2 7 2 < / i n t > < / v a l u e > < / i t e m > < i t e m > < k e y > < s t r i n g > P r o d u t i v i d a d e   M � n i m a < / s t r i n g > < / k e y > < v a l u e > < i n t > 1 7 2 < / i n t > < / v a l u e > < / i t e m > < i t e m > < k e y > < s t r i n g > P r o d u t i v i d a d e   M � x i m a < / s t r i n g > < / k e y > < v a l u e > < i n t > 1 7 5 < / i n t > < / v a l u e > < / i t e m > < i t e m > < k e y > < s t r i n g > P r o d u t i v i d a d e   M � d i a < / s t r i n g > < / k e y > < v a l u e > < i n t > 1 6 5 < / i n t > < / v a l u e > < / i t e m > < i t e m > < k e y > < s t r i n g > P r o d u t i v i d a d e   P e r s o n a l i z a d a < / s t r i n g > < / k e y > < v a l u e > < i n t > 2 1 2 < / i n t > < / v a l u e > < / i t e m > < i t e m > < k e y > < s t r i n g > K i < / s t r i n g > < / k e y > < v a l u e > < i n t > 4 8 < / i n t > < / v a l u e > < / i t e m > < i t e m > < k e y > < s t r i n g > Q t d e .   S e r v e n t e s < / s t r i n g > < / k e y > < v a l u e > < i n t > 1 3 6 < / i n t > < / v a l u e > < / i t e m > < i t e m > < k e y > < s t r i n g > K i   a j u s t a d o < / s t r i n g > < / k e y > < v a l u e > < i n t > 1 0 4 < / i n t > < / v a l u e > < / i t e m > < i t e m > < k e y > < s t r i n g > Q t e   a j u s t a d a < / s t r i n g > < / k e y > < v a l u e > < i n t > 1 1 4 < / i n t > < / v a l u e > < / i t e m > < i t e m > < k e y > < s t r i n g > P r o d u t i v i d a d e < / s t r i n g > < / k e y > < v a l u e > < i n t > 1 7 8 < / i n t > < / v a l u e > < / i t e m > < / C o l u m n W i d t h s > < C o l u m n D i s p l a y I n d e x > < i t e m > < k e y > < s t r i n g > D e s c r i � � o < / s t r i n g > < / k e y > < v a l u e > < i n t > 0 < / i n t > < / v a l u e > < / i t e m > < i t e m > < k e y > < s t r i n g > T i p o < / s t r i n g > < / k e y > < v a l u e > < i n t > 1 < / i n t > < / v a l u e > < / i t e m > < i t e m > < k e y > < s t r i n g > Q u a n t i d a d e < / s t r i n g > < / k e y > < v a l u e > < i n t > 2 < / i n t > < / v a l u e > < / i t e m > < i t e m > < k e y > < s t r i n g > F r e q u � n c i a   n o   m � s / s e m e s t r e < / s t r i n g > < / k e y > < v a l u e > < i n t > 3 < / i n t > < / v a l u e > < / i t e m > < i t e m > < k e y > < s t r i n g > J o r n a d a   d e   T r a b a l h o   n o   m � s / S e m e s t r e < / s t r i n g > < / k e y > < v a l u e > < i n t > 4 < / i n t > < / v a l u e > < / i t e m > < i t e m > < k e y > < s t r i n g > P r o d u t i v i d a d e   M � n i m a < / s t r i n g > < / k e y > < v a l u e > < i n t > 5 < / i n t > < / v a l u e > < / i t e m > < i t e m > < k e y > < s t r i n g > P r o d u t i v i d a d e   M � x i m a < / s t r i n g > < / k e y > < v a l u e > < i n t > 6 < / i n t > < / v a l u e > < / i t e m > < i t e m > < k e y > < s t r i n g > P r o d u t i v i d a d e   M � d i a < / s t r i n g > < / k e y > < v a l u e > < i n t > 7 < / i n t > < / v a l u e > < / i t e m > < i t e m > < k e y > < s t r i n g > P r o d u t i v i d a d e   P e r s o n a l i z a d a < / s t r i n g > < / k e y > < v a l u e > < i n t > 8 < / i n t > < / v a l u e > < / i t e m > < i t e m > < k e y > < s t r i n g > K i < / s t r i n g > < / k e y > < v a l u e > < i n t > 9 < / i n t > < / v a l u e > < / i t e m > < i t e m > < k e y > < s t r i n g > Q t d e .   S e r v e n t e s < / s t r i n g > < / k e y > < v a l u e > < i n t > 1 0 < / i n t > < / v a l u e > < / i t e m > < i t e m > < k e y > < s t r i n g > K i   a j u s t a d o < / s t r i n g > < / k e y > < v a l u e > < i n t > 1 1 < / i n t > < / v a l u e > < / i t e m > < i t e m > < k e y > < s t r i n g > Q t e   a j u s t a d a < / s t r i n g > < / k e y > < v a l u e > < i n t > 1 2 < / i n t > < / v a l u e > < / i t e m > < i t e m > < k e y > < s t r i n g > P r o d u t i v i d a d e < / s t r i n g > < / k e y > < v a l u e > < i n t > 1 3 < / 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 C o l u m n s \ D e s c r i � � o < / K e y > < / D i a g r a m O b j e c t K e y > < D i a g r a m O b j e c t K e y > < K e y > C o l u m n s \ T i p o < / K e y > < / D i a g r a m O b j e c t K e y > < D i a g r a m O b j e c t K e y > < K e y > C o l u m n s \ Q u a n t i d a d e < / K e y > < / D i a g r a m O b j e c t K e y > < D i a g r a m O b j e c t K e y > < K e y > C o l u m n s \ F r e q u � n c i a   n o   m � s / s e m e s t r e < / K e y > < / D i a g r a m O b j e c t K e y > < D i a g r a m O b j e c t K e y > < K e y > C o l u m n s \ J o r n a d a   d e   T r a b a l h o   n o   m � s / S e m e s t r e < / K e y > < / D i a g r a m O b j e c t K e y > < D i a g r a m O b j e c t K e y > < K e y > C o l u m n s \ P r o d u t i v i d a d e   M � n i m a < / K e y > < / D i a g r a m O b j e c t K e y > < D i a g r a m O b j e c t K e y > < K e y > C o l u m n s \ P r o d u t i v i d a d e   M � x i m a < / K e y > < / D i a g r a m O b j e c t K e y > < D i a g r a m O b j e c t K e y > < K e y > C o l u m n s \ P r o d u t i v i d a d e   M � d i a < / K e y > < / D i a g r a m O b j e c t K e y > < D i a g r a m O b j e c t K e y > < K e y > C o l u m n s \ P r o d u t i v i d a d e   P e r s o n a l i z a d a < / K e y > < / D i a g r a m O b j e c t K e y > < D i a g r a m O b j e c t K e y > < K e y > C o l u m n s \ K i < / K e y > < / D i a g r a m O b j e c t K e y > < D i a g r a m O b j e c t K e y > < K e y > C o l u m n s \ Q t d e .   S e r v e n t e s < / K e y > < / D i a g r a m O b j e c t K e y > < D i a g r a m O b j e c t K e y > < K e y > C o l u m n s \ K i   a j u s t a d o < / K e y > < / D i a g r a m O b j e c t K e y > < D i a g r a m O b j e c t K e y > < K e y > C o l u m n s \ Q t e   a j u s t a d a < / K e y > < / D i a g r a m O b j e c t K e y > < D i a g r a m O b j e c t K e y > < K e y > C o l u m n s \ P r o d u t i v i d a d e 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 C o l u m n s \ D e s c r i � � o < / K e y > < / a : K e y > < a : V a l u e   i : t y p e = " M e a s u r e G r i d N o d e V i e w S t a t e " > < L a y e d O u t > t r u e < / L a y e d O u t > < / a : V a l u e > < / a : K e y V a l u e O f D i a g r a m O b j e c t K e y a n y T y p e z b w N T n L X > < a : K e y V a l u e O f D i a g r a m O b j e c t K e y a n y T y p e z b w N T n L X > < a : K e y > < K e y > C o l u m n s \ T i p o < / K e y > < / a : K e y > < a : V a l u e   i : t y p e = " M e a s u r e G r i d N o d e V i e w S t a t e " > < C o l u m n > 1 < / C o l u m n > < L a y e d O u t > t r u e < / L a y e d O u t > < / a : V a l u e > < / a : K e y V a l u e O f D i a g r a m O b j e c t K e y a n y T y p e z b w N T n L X > < a : K e y V a l u e O f D i a g r a m O b j e c t K e y a n y T y p e z b w N T n L X > < a : K e y > < K e y > C o l u m n s \ Q u a n t i d a d e < / K e y > < / a : K e y > < a : V a l u e   i : t y p e = " M e a s u r e G r i d N o d e V i e w S t a t e " > < C o l u m n > 2 < / C o l u m n > < L a y e d O u t > t r u e < / L a y e d O u t > < / a : V a l u e > < / a : K e y V a l u e O f D i a g r a m O b j e c t K e y a n y T y p e z b w N T n L X > < a : K e y V a l u e O f D i a g r a m O b j e c t K e y a n y T y p e z b w N T n L X > < a : K e y > < K e y > C o l u m n s \ F r e q u � n c i a   n o   m � s / s e m e s t r e < / K e y > < / a : K e y > < a : V a l u e   i : t y p e = " M e a s u r e G r i d N o d e V i e w S t a t e " > < C o l u m n > 3 < / C o l u m n > < L a y e d O u t > t r u e < / L a y e d O u t > < / a : V a l u e > < / a : K e y V a l u e O f D i a g r a m O b j e c t K e y a n y T y p e z b w N T n L X > < a : K e y V a l u e O f D i a g r a m O b j e c t K e y a n y T y p e z b w N T n L X > < a : K e y > < K e y > C o l u m n s \ J o r n a d a   d e   T r a b a l h o   n o   m � s / S e m e s t r e < / K e y > < / a : K e y > < a : V a l u e   i : t y p e = " M e a s u r e G r i d N o d e V i e w S t a t e " > < C o l u m n > 4 < / C o l u m n > < L a y e d O u t > t r u e < / L a y e d O u t > < / a : V a l u e > < / a : K e y V a l u e O f D i a g r a m O b j e c t K e y a n y T y p e z b w N T n L X > < a : K e y V a l u e O f D i a g r a m O b j e c t K e y a n y T y p e z b w N T n L X > < a : K e y > < K e y > C o l u m n s \ P r o d u t i v i d a d e   M � n i m a < / K e y > < / a : K e y > < a : V a l u e   i : t y p e = " M e a s u r e G r i d N o d e V i e w S t a t e " > < C o l u m n > 5 < / C o l u m n > < L a y e d O u t > t r u e < / L a y e d O u t > < / a : V a l u e > < / a : K e y V a l u e O f D i a g r a m O b j e c t K e y a n y T y p e z b w N T n L X > < a : K e y V a l u e O f D i a g r a m O b j e c t K e y a n y T y p e z b w N T n L X > < a : K e y > < K e y > C o l u m n s \ P r o d u t i v i d a d e   M � x i m a < / K e y > < / a : K e y > < a : V a l u e   i : t y p e = " M e a s u r e G r i d N o d e V i e w S t a t e " > < C o l u m n > 6 < / C o l u m n > < L a y e d O u t > t r u e < / L a y e d O u t > < / a : V a l u e > < / a : K e y V a l u e O f D i a g r a m O b j e c t K e y a n y T y p e z b w N T n L X > < a : K e y V a l u e O f D i a g r a m O b j e c t K e y a n y T y p e z b w N T n L X > < a : K e y > < K e y > C o l u m n s \ P r o d u t i v i d a d e   M � d i a < / K e y > < / a : K e y > < a : V a l u e   i : t y p e = " M e a s u r e G r i d N o d e V i e w S t a t e " > < C o l u m n > 7 < / C o l u m n > < L a y e d O u t > t r u e < / L a y e d O u t > < / a : V a l u e > < / a : K e y V a l u e O f D i a g r a m O b j e c t K e y a n y T y p e z b w N T n L X > < a : K e y V a l u e O f D i a g r a m O b j e c t K e y a n y T y p e z b w N T n L X > < a : K e y > < K e y > C o l u m n s \ P r o d u t i v i d a d e   P e r s o n a l i z a d a < / K e y > < / a : K e y > < a : V a l u e   i : t y p e = " M e a s u r e G r i d N o d e V i e w S t a t e " > < C o l u m n > 8 < / C o l u m n > < L a y e d O u t > t r u e < / L a y e d O u t > < / a : V a l u e > < / a : K e y V a l u e O f D i a g r a m O b j e c t K e y a n y T y p e z b w N T n L X > < a : K e y V a l u e O f D i a g r a m O b j e c t K e y a n y T y p e z b w N T n L X > < a : K e y > < K e y > C o l u m n s \ K i < / K e y > < / a : K e y > < a : V a l u e   i : t y p e = " M e a s u r e G r i d N o d e V i e w S t a t e " > < C o l u m n > 9 < / C o l u m n > < L a y e d O u t > t r u e < / L a y e d O u t > < / a : V a l u e > < / a : K e y V a l u e O f D i a g r a m O b j e c t K e y a n y T y p e z b w N T n L X > < a : K e y V a l u e O f D i a g r a m O b j e c t K e y a n y T y p e z b w N T n L X > < a : K e y > < K e y > C o l u m n s \ Q t d e .   S e r v e n t e s < / K e y > < / a : K e y > < a : V a l u e   i : t y p e = " M e a s u r e G r i d N o d e V i e w S t a t e " > < C o l u m n > 1 0 < / C o l u m n > < L a y e d O u t > t r u e < / L a y e d O u t > < / a : V a l u e > < / a : K e y V a l u e O f D i a g r a m O b j e c t K e y a n y T y p e z b w N T n L X > < a : K e y V a l u e O f D i a g r a m O b j e c t K e y a n y T y p e z b w N T n L X > < a : K e y > < K e y > C o l u m n s \ K i   a j u s t a d o < / K e y > < / a : K e y > < a : V a l u e   i : t y p e = " M e a s u r e G r i d N o d e V i e w S t a t e " > < C o l u m n > 1 1 < / C o l u m n > < L a y e d O u t > t r u e < / L a y e d O u t > < / a : V a l u e > < / a : K e y V a l u e O f D i a g r a m O b j e c t K e y a n y T y p e z b w N T n L X > < a : K e y V a l u e O f D i a g r a m O b j e c t K e y a n y T y p e z b w N T n L X > < a : K e y > < K e y > C o l u m n s \ Q t e   a j u s t a d a < / K e y > < / a : K e y > < a : V a l u e   i : t y p e = " M e a s u r e G r i d N o d e V i e w S t a t e " > < C o l u m n > 1 2 < / C o l u m n > < L a y e d O u t > t r u e < / L a y e d O u t > < / a : V a l u e > < / a : K e y V a l u e O f D i a g r a m O b j e c t K e y a n y T y p e z b w N T n L X > < a : K e y V a l u e O f D i a g r a m O b j e c t K e y a n y T y p e z b w N T n L X > < a : K e y > < K e y > C o l u m n s \ P r o d u t i v i d a d e < / K e y > < / a : K e y > < a : V a l u e   i : t y p e = " M e a s u r e G r i d N o d e V i e w S t a t e " > < C o l u m n > 1 3 < / 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 T a g s \ T a b l e s \ & l t ; T a b l e s \ T a b l e 3 & g t ; < / K e y > < / D i a g r a m O b j e c t K e y > < D i a g r a m O b j e c t K e y > < K e y > T a b l e s \ T a b l e 3 < / K e y > < / D i a g r a m O b j e c t K e y > < D i a g r a m O b j e c t K e y > < K e y > T a b l e s \ T a b l e 3 \ C o l u m n s \ D e s c r i � � o < / K e y > < / D i a g r a m O b j e c t K e y > < D i a g r a m O b j e c t K e y > < K e y > T a b l e s \ T a b l e 3 \ C o l u m n s \ T i p o < / K e y > < / D i a g r a m O b j e c t K e y > < D i a g r a m O b j e c t K e y > < K e y > T a b l e s \ T a b l e 3 \ C o l u m n s \ Q u a n t i d a d e < / K e y > < / D i a g r a m O b j e c t K e y > < D i a g r a m O b j e c t K e y > < K e y > T a b l e s \ T a b l e 3 \ C o l u m n s \ F r e q u � n c i a   n o   m � s / s e m e s t r e < / K e y > < / D i a g r a m O b j e c t K e y > < D i a g r a m O b j e c t K e y > < K e y > T a b l e s \ T a b l e 3 \ C o l u m n s \ J o r n a d a   d e   T r a b a l h o   n o   m � s / S e m e s t r e < / K e y > < / D i a g r a m O b j e c t K e y > < D i a g r a m O b j e c t K e y > < K e y > T a b l e s \ T a b l e 3 \ C o l u m n s \ P r o d u t i v i d a d e   M � n i m a < / K e y > < / D i a g r a m O b j e c t K e y > < D i a g r a m O b j e c t K e y > < K e y > T a b l e s \ T a b l e 3 \ C o l u m n s \ P r o d u t i v i d a d e   M � x i m a < / K e y > < / D i a g r a m O b j e c t K e y > < D i a g r a m O b j e c t K e y > < K e y > T a b l e s \ T a b l e 3 \ C o l u m n s \ P r o d u t i v i d a d e   M � d i a < / K e y > < / D i a g r a m O b j e c t K e y > < D i a g r a m O b j e c t K e y > < K e y > T a b l e s \ T a b l e 3 \ C o l u m n s \ P r o d u t i v i d a d e   P e r s o n a l i z a d a < / K e y > < / D i a g r a m O b j e c t K e y > < D i a g r a m O b j e c t K e y > < K e y > T a b l e s \ T a b l e 3 \ C o l u m n s \ K i < / K e y > < / D i a g r a m O b j e c t K e y > < D i a g r a m O b j e c t K e y > < K e y > T a b l e s \ T a b l e 3 \ C o l u m n s \ Q t d e .   S e r v e n t e s < / K e y > < / D i a g r a m O b j e c t K e y > < D i a g r a m O b j e c t K e y > < K e y > T a b l e s \ T a b l e 3 \ C o l u m n s \ K i   a j u s t a d o < / K e y > < / D i a g r a m O b j e c t K e y > < D i a g r a m O b j e c t K e y > < K e y > T a b l e s \ T a b l e 3 \ C o l u m n s \ Q t e   a j u s t a d a < / K e y > < / D i a g r a m O b j e c t K e y > < D i a g r a m O b j e c t K e y > < K e y > T a b l e s \ T a b l e 3 \ C o l u m n s \ P r o d u t i v i d a d e < / K e y > < / D i a g r a m O b j e c t K e y > < / A l l K e y s > < S e l e c t e d K e y s > < D i a g r a m O b j e c t K e y > < K e y > T a b l e s \ T a b l e 3 \ C o l u m n s \ P r o d u t i v i d a d e < / 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 T a g s \ T a b l e s \ & l t ; T a b l e s \ T a b l e 3 & g t ; < / K e y > < / a : K e y > < a : V a l u e   i : t y p e = " D i a g r a m D i s p l a y T a g V i e w S t a t e " > < I s N o t F i l t e r e d O u t > t r u e < / I s N o t F i l t e r e d O u t > < / a : V a l u e > < / a : K e y V a l u e O f D i a g r a m O b j e c t K e y a n y T y p e z b w N T n L X > < a : K e y V a l u e O f D i a g r a m O b j e c t K e y a n y T y p e z b w N T n L X > < a : K e y > < K e y > T a b l e s \ T a b l e 3 < / K e y > < / a : K e y > < a : V a l u e   i : t y p e = " D i a g r a m D i s p l a y N o d e V i e w S t a t e " > < H e i g h t > 4 4 4 < / H e i g h t > < I s E x p a n d e d > t r u e < / I s E x p a n d e d > < L a y e d O u t > t r u e < / L a y e d O u t > < W i d t h > 6 2 2 < / W i d t h > < / a : V a l u e > < / a : K e y V a l u e O f D i a g r a m O b j e c t K e y a n y T y p e z b w N T n L X > < a : K e y V a l u e O f D i a g r a m O b j e c t K e y a n y T y p e z b w N T n L X > < a : K e y > < K e y > T a b l e s \ T a b l e 3 \ C o l u m n s \ D e s c r i � � o < / K e y > < / a : K e y > < a : V a l u e   i : t y p e = " D i a g r a m D i s p l a y N o d e V i e w S t a t e " > < H e i g h t > 1 5 0 < / H e i g h t > < I s E x p a n d e d > t r u e < / I s E x p a n d e d > < W i d t h > 2 0 0 < / W i d t h > < / a : V a l u e > < / a : K e y V a l u e O f D i a g r a m O b j e c t K e y a n y T y p e z b w N T n L X > < a : K e y V a l u e O f D i a g r a m O b j e c t K e y a n y T y p e z b w N T n L X > < a : K e y > < K e y > T a b l e s \ T a b l e 3 \ C o l u m n s \ T i p o < / K e y > < / a : K e y > < a : V a l u e   i : t y p e = " D i a g r a m D i s p l a y N o d e V i e w S t a t e " > < H e i g h t > 1 5 0 < / H e i g h t > < I s E x p a n d e d > t r u e < / I s E x p a n d e d > < W i d t h > 2 0 0 < / W i d t h > < / a : V a l u e > < / a : K e y V a l u e O f D i a g r a m O b j e c t K e y a n y T y p e z b w N T n L X > < a : K e y V a l u e O f D i a g r a m O b j e c t K e y a n y T y p e z b w N T n L X > < a : K e y > < K e y > T a b l e s \ T a b l e 3 \ C o l u m n s \ Q u a n t i d a d e < / K e y > < / a : K e y > < a : V a l u e   i : t y p e = " D i a g r a m D i s p l a y N o d e V i e w S t a t e " > < H e i g h t > 1 5 0 < / H e i g h t > < I s E x p a n d e d > t r u e < / I s E x p a n d e d > < W i d t h > 2 0 0 < / W i d t h > < / a : V a l u e > < / a : K e y V a l u e O f D i a g r a m O b j e c t K e y a n y T y p e z b w N T n L X > < a : K e y V a l u e O f D i a g r a m O b j e c t K e y a n y T y p e z b w N T n L X > < a : K e y > < K e y > T a b l e s \ T a b l e 3 \ C o l u m n s \ F r e q u � n c i a   n o   m � s / s e m e s t r e < / K e y > < / a : K e y > < a : V a l u e   i : t y p e = " D i a g r a m D i s p l a y N o d e V i e w S t a t e " > < H e i g h t > 1 5 0 < / H e i g h t > < I s E x p a n d e d > t r u e < / I s E x p a n d e d > < W i d t h > 2 0 0 < / W i d t h > < / a : V a l u e > < / a : K e y V a l u e O f D i a g r a m O b j e c t K e y a n y T y p e z b w N T n L X > < a : K e y V a l u e O f D i a g r a m O b j e c t K e y a n y T y p e z b w N T n L X > < a : K e y > < K e y > T a b l e s \ T a b l e 3 \ C o l u m n s \ J o r n a d a   d e   T r a b a l h o   n o   m � s / S e m e s t r e < / K e y > < / a : K e y > < a : V a l u e   i : t y p e = " D i a g r a m D i s p l a y N o d e V i e w S t a t e " > < H e i g h t > 1 5 0 < / H e i g h t > < I s E x p a n d e d > t r u e < / I s E x p a n d e d > < W i d t h > 2 0 0 < / W i d t h > < / a : V a l u e > < / a : K e y V a l u e O f D i a g r a m O b j e c t K e y a n y T y p e z b w N T n L X > < a : K e y V a l u e O f D i a g r a m O b j e c t K e y a n y T y p e z b w N T n L X > < a : K e y > < K e y > T a b l e s \ T a b l e 3 \ C o l u m n s \ P r o d u t i v i d a d e   M � n i m a < / K e y > < / a : K e y > < a : V a l u e   i : t y p e = " D i a g r a m D i s p l a y N o d e V i e w S t a t e " > < H e i g h t > 1 5 0 < / H e i g h t > < I s E x p a n d e d > t r u e < / I s E x p a n d e d > < W i d t h > 2 0 0 < / W i d t h > < / a : V a l u e > < / a : K e y V a l u e O f D i a g r a m O b j e c t K e y a n y T y p e z b w N T n L X > < a : K e y V a l u e O f D i a g r a m O b j e c t K e y a n y T y p e z b w N T n L X > < a : K e y > < K e y > T a b l e s \ T a b l e 3 \ C o l u m n s \ P r o d u t i v i d a d e   M � x i m a < / K e y > < / a : K e y > < a : V a l u e   i : t y p e = " D i a g r a m D i s p l a y N o d e V i e w S t a t e " > < H e i g h t > 1 5 0 < / H e i g h t > < I s E x p a n d e d > t r u e < / I s E x p a n d e d > < W i d t h > 2 0 0 < / W i d t h > < / a : V a l u e > < / a : K e y V a l u e O f D i a g r a m O b j e c t K e y a n y T y p e z b w N T n L X > < a : K e y V a l u e O f D i a g r a m O b j e c t K e y a n y T y p e z b w N T n L X > < a : K e y > < K e y > T a b l e s \ T a b l e 3 \ C o l u m n s \ P r o d u t i v i d a d e   M � d i a < / K e y > < / a : K e y > < a : V a l u e   i : t y p e = " D i a g r a m D i s p l a y N o d e V i e w S t a t e " > < H e i g h t > 1 5 0 < / H e i g h t > < I s E x p a n d e d > t r u e < / I s E x p a n d e d > < W i d t h > 2 0 0 < / W i d t h > < / a : V a l u e > < / a : K e y V a l u e O f D i a g r a m O b j e c t K e y a n y T y p e z b w N T n L X > < a : K e y V a l u e O f D i a g r a m O b j e c t K e y a n y T y p e z b w N T n L X > < a : K e y > < K e y > T a b l e s \ T a b l e 3 \ C o l u m n s \ P r o d u t i v i d a d e   P e r s o n a l i z a d a < / K e y > < / a : K e y > < a : V a l u e   i : t y p e = " D i a g r a m D i s p l a y N o d e V i e w S t a t e " > < H e i g h t > 1 5 0 < / H e i g h t > < I s E x p a n d e d > t r u e < / I s E x p a n d e d > < W i d t h > 2 0 0 < / W i d t h > < / a : V a l u e > < / a : K e y V a l u e O f D i a g r a m O b j e c t K e y a n y T y p e z b w N T n L X > < a : K e y V a l u e O f D i a g r a m O b j e c t K e y a n y T y p e z b w N T n L X > < a : K e y > < K e y > T a b l e s \ T a b l e 3 \ C o l u m n s \ K i < / K e y > < / a : K e y > < a : V a l u e   i : t y p e = " D i a g r a m D i s p l a y N o d e V i e w S t a t e " > < H e i g h t > 1 5 0 < / H e i g h t > < I s E x p a n d e d > t r u e < / I s E x p a n d e d > < W i d t h > 2 0 0 < / W i d t h > < / a : V a l u e > < / a : K e y V a l u e O f D i a g r a m O b j e c t K e y a n y T y p e z b w N T n L X > < a : K e y V a l u e O f D i a g r a m O b j e c t K e y a n y T y p e z b w N T n L X > < a : K e y > < K e y > T a b l e s \ T a b l e 3 \ C o l u m n s \ Q t d e .   S e r v e n t e s < / K e y > < / a : K e y > < a : V a l u e   i : t y p e = " D i a g r a m D i s p l a y N o d e V i e w S t a t e " > < H e i g h t > 1 5 0 < / H e i g h t > < I s E x p a n d e d > t r u e < / I s E x p a n d e d > < W i d t h > 2 0 0 < / W i d t h > < / a : V a l u e > < / a : K e y V a l u e O f D i a g r a m O b j e c t K e y a n y T y p e z b w N T n L X > < a : K e y V a l u e O f D i a g r a m O b j e c t K e y a n y T y p e z b w N T n L X > < a : K e y > < K e y > T a b l e s \ T a b l e 3 \ C o l u m n s \ K i   a j u s t a d o < / K e y > < / a : K e y > < a : V a l u e   i : t y p e = " D i a g r a m D i s p l a y N o d e V i e w S t a t e " > < H e i g h t > 1 5 0 < / H e i g h t > < I s E x p a n d e d > t r u e < / I s E x p a n d e d > < W i d t h > 2 0 0 < / W i d t h > < / a : V a l u e > < / a : K e y V a l u e O f D i a g r a m O b j e c t K e y a n y T y p e z b w N T n L X > < a : K e y V a l u e O f D i a g r a m O b j e c t K e y a n y T y p e z b w N T n L X > < a : K e y > < K e y > T a b l e s \ T a b l e 3 \ C o l u m n s \ Q t e   a j u s t a d a < / K e y > < / a : K e y > < a : V a l u e   i : t y p e = " D i a g r a m D i s p l a y N o d e V i e w S t a t e " > < H e i g h t > 1 5 0 < / H e i g h t > < I s E x p a n d e d > t r u e < / I s E x p a n d e d > < W i d t h > 2 0 0 < / W i d t h > < / a : V a l u e > < / a : K e y V a l u e O f D i a g r a m O b j e c t K e y a n y T y p e z b w N T n L X > < a : K e y V a l u e O f D i a g r a m O b j e c t K e y a n y T y p e z b w N T n L X > < a : K e y > < K e y > T a b l e s \ T a b l e 3 \ C o l u m n s \ P r o d u t i v i d a d e < / K e y > < / a : K e y > < a : V a l u e   i : t y p e = " D i a g r a m D i s p l a y N o d e V i e w S t a t e " > < H e i g h t > 1 5 0 < / H e i g h t > < I s E x p a n d e d > t r u e < / I s E x p a n d e d > < W i d t h > 2 0 0 < / W i d t h > < / a : V a l u e > < / a : K e y V a l u e O f D i a g r a m O b j e c t K e y a n y T y p e z b w N T n L X > < / V i e w S t a t e s > < / D i a g r a m M a n a g e r . S e r i a l i z a b l e D i a g r a m > < / A r r a y O f D i a g r a m M a n a g e r . S e r i a l i z a b l e D i a g r a m > ] ] > < / C u s t o m C o n t e n t > < / G e m i n i > 
</file>

<file path=customXml/item7.xml>��< ? x m l   v e r s i o n = " 1 . 0 "   e n c o d i n g = " U T F - 1 6 " ? > < G e m i n i   x m l n s = " h t t p : / / g e m i n i / p i v o t c u s t o m i z a t i o n / S a n d b o x N o n E m p t y " > < C u s t o m C o n t e n t > < ! [ C D A T A [ 1 ] ] > < / 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C l i e n t W i n d o w X M L " > < C u s t o m C o n t e n t > < ! [ C D A T A [ T a b l e 3 ] ] > < / C u s t o m C o n t e n t > < / G e m i n i > 
</file>

<file path=customXml/itemProps1.xml><?xml version="1.0" encoding="utf-8"?>
<ds:datastoreItem xmlns:ds="http://schemas.openxmlformats.org/officeDocument/2006/customXml" ds:itemID="{AF3839CB-EB85-4B93-B2E6-2A84403A12C5}">
  <ds:schemaRefs/>
</ds:datastoreItem>
</file>

<file path=customXml/itemProps10.xml><?xml version="1.0" encoding="utf-8"?>
<ds:datastoreItem xmlns:ds="http://schemas.openxmlformats.org/officeDocument/2006/customXml" ds:itemID="{4221D6DA-6518-4041-9D3B-13E6A4AC98E7}">
  <ds:schemaRefs/>
</ds:datastoreItem>
</file>

<file path=customXml/itemProps11.xml><?xml version="1.0" encoding="utf-8"?>
<ds:datastoreItem xmlns:ds="http://schemas.openxmlformats.org/officeDocument/2006/customXml" ds:itemID="{44A77694-12D2-45C6-BC21-B74C17479B00}">
  <ds:schemaRefs/>
</ds:datastoreItem>
</file>

<file path=customXml/itemProps12.xml><?xml version="1.0" encoding="utf-8"?>
<ds:datastoreItem xmlns:ds="http://schemas.openxmlformats.org/officeDocument/2006/customXml" ds:itemID="{D24CE791-0A0A-4653-9537-015962008E36}">
  <ds:schemaRefs/>
</ds:datastoreItem>
</file>

<file path=customXml/itemProps13.xml><?xml version="1.0" encoding="utf-8"?>
<ds:datastoreItem xmlns:ds="http://schemas.openxmlformats.org/officeDocument/2006/customXml" ds:itemID="{FE54B4C3-285F-47A7-802F-1DF735C12624}">
  <ds:schemaRefs/>
</ds:datastoreItem>
</file>

<file path=customXml/itemProps14.xml><?xml version="1.0" encoding="utf-8"?>
<ds:datastoreItem xmlns:ds="http://schemas.openxmlformats.org/officeDocument/2006/customXml" ds:itemID="{B16AAB40-06F4-435D-8AEF-E5DD6D81CDCA}">
  <ds:schemaRefs/>
</ds:datastoreItem>
</file>

<file path=customXml/itemProps15.xml><?xml version="1.0" encoding="utf-8"?>
<ds:datastoreItem xmlns:ds="http://schemas.openxmlformats.org/officeDocument/2006/customXml" ds:itemID="{5F29046F-1CBC-4FD4-80CF-724367A55723}">
  <ds:schemaRefs/>
</ds:datastoreItem>
</file>

<file path=customXml/itemProps16.xml><?xml version="1.0" encoding="utf-8"?>
<ds:datastoreItem xmlns:ds="http://schemas.openxmlformats.org/officeDocument/2006/customXml" ds:itemID="{E7DDFF85-C6C0-4AA7-BEBD-C27D20512296}">
  <ds:schemaRefs/>
</ds:datastoreItem>
</file>

<file path=customXml/itemProps17.xml><?xml version="1.0" encoding="utf-8"?>
<ds:datastoreItem xmlns:ds="http://schemas.openxmlformats.org/officeDocument/2006/customXml" ds:itemID="{9BACF4D7-AB33-456E-B4D8-64981D96218B}">
  <ds:schemaRefs/>
</ds:datastoreItem>
</file>

<file path=customXml/itemProps2.xml><?xml version="1.0" encoding="utf-8"?>
<ds:datastoreItem xmlns:ds="http://schemas.openxmlformats.org/officeDocument/2006/customXml" ds:itemID="{7AF3AD75-BA31-4F4A-984F-395A7399A996}">
  <ds:schemaRefs/>
</ds:datastoreItem>
</file>

<file path=customXml/itemProps3.xml><?xml version="1.0" encoding="utf-8"?>
<ds:datastoreItem xmlns:ds="http://schemas.openxmlformats.org/officeDocument/2006/customXml" ds:itemID="{D59F7F65-5792-4AFD-807E-6EF0ED8CC599}">
  <ds:schemaRefs/>
</ds:datastoreItem>
</file>

<file path=customXml/itemProps4.xml><?xml version="1.0" encoding="utf-8"?>
<ds:datastoreItem xmlns:ds="http://schemas.openxmlformats.org/officeDocument/2006/customXml" ds:itemID="{D60EC4F2-A7A0-467F-9B3F-475B4E9FD7CF}">
  <ds:schemaRefs/>
</ds:datastoreItem>
</file>

<file path=customXml/itemProps5.xml><?xml version="1.0" encoding="utf-8"?>
<ds:datastoreItem xmlns:ds="http://schemas.openxmlformats.org/officeDocument/2006/customXml" ds:itemID="{3E7DADF5-98D3-409D-B380-09EE56B84F94}">
  <ds:schemaRefs/>
</ds:datastoreItem>
</file>

<file path=customXml/itemProps6.xml><?xml version="1.0" encoding="utf-8"?>
<ds:datastoreItem xmlns:ds="http://schemas.openxmlformats.org/officeDocument/2006/customXml" ds:itemID="{3D0EB289-6ADA-4ABF-954F-CBB24501EBB1}">
  <ds:schemaRefs/>
</ds:datastoreItem>
</file>

<file path=customXml/itemProps7.xml><?xml version="1.0" encoding="utf-8"?>
<ds:datastoreItem xmlns:ds="http://schemas.openxmlformats.org/officeDocument/2006/customXml" ds:itemID="{46933E33-13A0-4B69-B2FA-6AAEDB07CE8E}">
  <ds:schemaRefs/>
</ds:datastoreItem>
</file>

<file path=customXml/itemProps8.xml><?xml version="1.0" encoding="utf-8"?>
<ds:datastoreItem xmlns:ds="http://schemas.openxmlformats.org/officeDocument/2006/customXml" ds:itemID="{32804E0E-2ECA-4E83-87CF-BB27BCF3B2F6}">
  <ds:schemaRefs/>
</ds:datastoreItem>
</file>

<file path=customXml/itemProps9.xml><?xml version="1.0" encoding="utf-8"?>
<ds:datastoreItem xmlns:ds="http://schemas.openxmlformats.org/officeDocument/2006/customXml" ds:itemID="{102A8123-E0B1-4E0D-AFB0-8D7CF46718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29</vt:i4>
      </vt:variant>
    </vt:vector>
  </HeadingPairs>
  <TitlesOfParts>
    <vt:vector size="40" baseType="lpstr">
      <vt:lpstr>Servente</vt:lpstr>
      <vt:lpstr>Encarregado (Líder)</vt:lpstr>
      <vt:lpstr>ASG sem Insalubridade</vt:lpstr>
      <vt:lpstr>Encarregado</vt:lpstr>
      <vt:lpstr>ASG com Insalubridade (40%)</vt:lpstr>
      <vt:lpstr>Uniformes e EPI</vt:lpstr>
      <vt:lpstr>Equipamentos</vt:lpstr>
      <vt:lpstr>Materiais</vt:lpstr>
      <vt:lpstr>Ambientes</vt:lpstr>
      <vt:lpstr>Tipos de Área e Produtivida</vt:lpstr>
      <vt:lpstr>Valor Total da Contratação</vt:lpstr>
      <vt:lpstr>Encarregado!_1A</vt:lpstr>
      <vt:lpstr>Servente!_1A</vt:lpstr>
      <vt:lpstr>Encarregado!_1B</vt:lpstr>
      <vt:lpstr>Servente!_1B</vt:lpstr>
      <vt:lpstr>Encarregado!_1C</vt:lpstr>
      <vt:lpstr>Servente!_1C</vt:lpstr>
      <vt:lpstr>Encarregado!_1D</vt:lpstr>
      <vt:lpstr>Servente!_1D</vt:lpstr>
      <vt:lpstr>Encarregado!_1E</vt:lpstr>
      <vt:lpstr>Servente!_1E</vt:lpstr>
      <vt:lpstr>Encarregado!_1F</vt:lpstr>
      <vt:lpstr>Servente!_1F</vt:lpstr>
      <vt:lpstr>Encarregado!_2.1A</vt:lpstr>
      <vt:lpstr>Servente!_2.1A</vt:lpstr>
      <vt:lpstr>Encarregado!_2.1B</vt:lpstr>
      <vt:lpstr>Servente!_2.1B</vt:lpstr>
      <vt:lpstr>Encarregado!_2.3A</vt:lpstr>
      <vt:lpstr>Servente!_2.3A</vt:lpstr>
      <vt:lpstr>Encarregado!_2.3B</vt:lpstr>
      <vt:lpstr>Servente!_2.3B</vt:lpstr>
      <vt:lpstr>Encarregado!_2.3C</vt:lpstr>
      <vt:lpstr>Servente!_2.3C</vt:lpstr>
      <vt:lpstr>Encarregado!_2.3D</vt:lpstr>
      <vt:lpstr>Servente!_2.3D</vt:lpstr>
      <vt:lpstr>Ambientes!Area_de_impressao</vt:lpstr>
      <vt:lpstr>Encarregado!Salário_Normativo_da_Categoria_Profissional</vt:lpstr>
      <vt:lpstr>Servente!Salário_Normativo_da_Categoria_Profissional</vt:lpstr>
      <vt:lpstr>Encarregado!SalarioBase</vt:lpstr>
      <vt:lpstr>Servente!SalarioBase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Carlos</dc:creator>
  <cp:lastModifiedBy>Usuário do Windows</cp:lastModifiedBy>
  <dcterms:created xsi:type="dcterms:W3CDTF">2019-02-19T21:25:00Z</dcterms:created>
  <dcterms:modified xsi:type="dcterms:W3CDTF">2020-04-29T13:51:32Z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1046-11.2.0.9255</vt:lpwstr>
  </property>
</Properties>
</file>