
<file path=[Content_Types].xml><?xml version="1.0" encoding="utf-8"?>
<Types xmlns="http://schemas.openxmlformats.org/package/2006/content-types">
  <Override PartName="/xl/tables/table25.xml" ContentType="application/vnd.openxmlformats-officedocument.spreadsheetml.table+xml"/>
  <Override PartName="/xl/tables/table72.xml" ContentType="application/vnd.openxmlformats-officedocument.spreadsheetml.table+xml"/>
  <Override PartName="/xl/tables/table101.xml" ContentType="application/vnd.openxmlformats-officedocument.spreadsheetml.table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tables/table14.xml" ContentType="application/vnd.openxmlformats-officedocument.spreadsheetml.table+xml"/>
  <Override PartName="/xl/tables/table61.xml" ContentType="application/vnd.openxmlformats-officedocument.spreadsheetml.table+xml"/>
  <Override PartName="/xl/comments8.xml" ContentType="application/vnd.openxmlformats-officedocument.spreadsheetml.comments+xml"/>
  <Override PartName="/xl/tables/table50.xml" ContentType="application/vnd.openxmlformats-officedocument.spreadsheetml.table+xml"/>
  <Override PartName="/xl/commentsmeta3" ContentType="application/binary"/>
  <Default Extension="xml" ContentType="application/xml"/>
  <Override PartName="/xl/tables/table10.xml" ContentType="application/vnd.openxmlformats-officedocument.spreadsheetml.table+xml"/>
  <Override PartName="/xl/comments4.xml" ContentType="application/vnd.openxmlformats-officedocument.spreadsheetml.comments+xml"/>
  <Override PartName="/xl/tables/table139.xml" ContentType="application/vnd.openxmlformats-officedocument.spreadsheetml.table+xml"/>
  <Override PartName="/xl/worksheets/sheet3.xml" ContentType="application/vnd.openxmlformats-officedocument.spreadsheetml.worksheet+xml"/>
  <Override PartName="/xl/tables/table99.xml" ContentType="application/vnd.openxmlformats-officedocument.spreadsheetml.table+xml"/>
  <Override PartName="/xl/tables/table128.xml" ContentType="application/vnd.openxmlformats-officedocument.spreadsheetml.table+xml"/>
  <Override PartName="/xl/tables/table157.xml" ContentType="application/vnd.openxmlformats-officedocument.spreadsheetml.table+xml"/>
  <Override PartName="/docProps/custom.xml" ContentType="application/vnd.openxmlformats-officedocument.custom-properties+xml"/>
  <Override PartName="/xl/tables/table9.xml" ContentType="application/vnd.openxmlformats-officedocument.spreadsheetml.table+xml"/>
  <Override PartName="/xl/tables/table59.xml" ContentType="application/vnd.openxmlformats-officedocument.spreadsheetml.table+xml"/>
  <Override PartName="/xl/tables/table88.xml" ContentType="application/vnd.openxmlformats-officedocument.spreadsheetml.table+xml"/>
  <Override PartName="/xl/tables/table117.xml" ContentType="application/vnd.openxmlformats-officedocument.spreadsheetml.table+xml"/>
  <Override PartName="/xl/tables/table135.xml" ContentType="application/vnd.openxmlformats-officedocument.spreadsheetml.table+xml"/>
  <Override PartName="/xl/tables/table146.xml" ContentType="application/vnd.openxmlformats-officedocument.spreadsheetml.table+xml"/>
  <Override PartName="/xl/sharedStrings.xml" ContentType="application/vnd.openxmlformats-officedocument.spreadsheetml.sharedStrings+xml"/>
  <Override PartName="/xl/tables/table19.xml" ContentType="application/vnd.openxmlformats-officedocument.spreadsheetml.table+xml"/>
  <Override PartName="/xl/tables/table48.xml" ContentType="application/vnd.openxmlformats-officedocument.spreadsheetml.table+xml"/>
  <Override PartName="/xl/tables/table66.xml" ContentType="application/vnd.openxmlformats-officedocument.spreadsheetml.table+xml"/>
  <Override PartName="/xl/tables/table77.xml" ContentType="application/vnd.openxmlformats-officedocument.spreadsheetml.table+xml"/>
  <Override PartName="/xl/tables/table95.xml" ContentType="application/vnd.openxmlformats-officedocument.spreadsheetml.table+xml"/>
  <Override PartName="/xl/tables/table106.xml" ContentType="application/vnd.openxmlformats-officedocument.spreadsheetml.table+xml"/>
  <Override PartName="/xl/tables/table124.xml" ContentType="application/vnd.openxmlformats-officedocument.spreadsheetml.table+xml"/>
  <Override PartName="/xl/tables/table153.xml" ContentType="application/vnd.openxmlformats-officedocument.spreadsheetml.table+xml"/>
  <Override PartName="/xl/tables/table5.xml" ContentType="application/vnd.openxmlformats-officedocument.spreadsheetml.table+xml"/>
  <Override PartName="/xl/tables/table26.xml" ContentType="application/vnd.openxmlformats-officedocument.spreadsheetml.table+xml"/>
  <Override PartName="/xl/tables/table37.xml" ContentType="application/vnd.openxmlformats-officedocument.spreadsheetml.table+xml"/>
  <Override PartName="/xl/tables/table55.xml" ContentType="application/vnd.openxmlformats-officedocument.spreadsheetml.table+xml"/>
  <Override PartName="/xl/tables/table73.xml" ContentType="application/vnd.openxmlformats-officedocument.spreadsheetml.table+xml"/>
  <Override PartName="/xl/tables/table84.xml" ContentType="application/vnd.openxmlformats-officedocument.spreadsheetml.table+xml"/>
  <Override PartName="/xl/tables/table113.xml" ContentType="application/vnd.openxmlformats-officedocument.spreadsheetml.table+xml"/>
  <Override PartName="/xl/tables/table131.xml" ContentType="application/vnd.openxmlformats-officedocument.spreadsheetml.table+xml"/>
  <Override PartName="/xl/tables/table142.xml" ContentType="application/vnd.openxmlformats-officedocument.spreadsheetml.table+xml"/>
  <Override PartName="/xl/comments10.xml" ContentType="application/vnd.openxmlformats-officedocument.spreadsheetml.comments+xml"/>
  <Override PartName="/xl/tables/table160.xml" ContentType="application/vnd.openxmlformats-officedocument.spreadsheetml.table+xml"/>
  <Override PartName="/xl/tables/table15.xml" ContentType="application/vnd.openxmlformats-officedocument.spreadsheetml.table+xml"/>
  <Override PartName="/xl/tables/table44.xml" ContentType="application/vnd.openxmlformats-officedocument.spreadsheetml.table+xml"/>
  <Override PartName="/xl/tables/table62.xml" ContentType="application/vnd.openxmlformats-officedocument.spreadsheetml.table+xml"/>
  <Override PartName="/xl/tables/table91.xml" ContentType="application/vnd.openxmlformats-officedocument.spreadsheetml.table+xml"/>
  <Override PartName="/xl/tables/table102.xml" ContentType="application/vnd.openxmlformats-officedocument.spreadsheetml.table+xml"/>
  <Override PartName="/xl/tables/table120.xml" ContentType="application/vnd.openxmlformats-officedocument.spreadsheetml.table+xml"/>
  <Override PartName="/xl/commentsmeta4" ContentType="application/binary"/>
  <Override PartName="/xl/commentsmeta9" ContentType="application/binary"/>
  <Override PartName="/xl/tables/table1.xml" ContentType="application/vnd.openxmlformats-officedocument.spreadsheetml.table+xml"/>
  <Override PartName="/xl/tables/table22.xml" ContentType="application/vnd.openxmlformats-officedocument.spreadsheetml.table+xml"/>
  <Override PartName="/xl/tables/table33.xml" ContentType="application/vnd.openxmlformats-officedocument.spreadsheetml.table+xml"/>
  <Override PartName="/xl/tables/table51.xml" ContentType="application/vnd.openxmlformats-officedocument.spreadsheetml.table+xml"/>
  <Override PartName="/xl/tables/table80.xml" ContentType="application/vnd.openxmlformats-officedocument.spreadsheetml.table+xml"/>
  <Override PartName="/xl/comments9.xml" ContentType="application/vnd.openxmlformats-officedocument.spreadsheetml.comments+xml"/>
  <Override PartName="/xl/worksheets/sheet8.xml" ContentType="application/vnd.openxmlformats-officedocument.spreadsheetml.worksheet+xml"/>
  <Override PartName="/xl/tables/table11.xml" ContentType="application/vnd.openxmlformats-officedocument.spreadsheetml.table+xml"/>
  <Override PartName="/xl/tables/table40.xml" ContentType="application/vnd.openxmlformats-officedocument.spreadsheetml.tab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omments5.xml" ContentType="application/vnd.openxmlformats-officedocument.spreadsheetml.comments+xml"/>
  <Override PartName="/xl/tables/table158.xml" ContentType="application/vnd.openxmlformats-officedocument.spreadsheetml.table+xml"/>
  <Override PartName="/xl/metadata" ContentType="application/binary"/>
  <Override PartName="/docProps/app.xml" ContentType="application/vnd.openxmlformats-officedocument.extended-properties+xml"/>
  <Override PartName="/xl/tables/table89.xml" ContentType="application/vnd.openxmlformats-officedocument.spreadsheetml.table+xml"/>
  <Override PartName="/xl/tables/table129.xml" ContentType="application/vnd.openxmlformats-officedocument.spreadsheetml.table+xml"/>
  <Override PartName="/xl/tables/table147.xml" ContentType="application/vnd.openxmlformats-officedocument.spreadsheetml.table+xml"/>
  <Default Extension="vml" ContentType="application/vnd.openxmlformats-officedocument.vmlDrawing"/>
  <Override PartName="/xl/comments1.xml" ContentType="application/vnd.openxmlformats-officedocument.spreadsheetml.comments+xml"/>
  <Override PartName="/xl/tables/table49.xml" ContentType="application/vnd.openxmlformats-officedocument.spreadsheetml.table+xml"/>
  <Override PartName="/xl/tables/table78.xml" ContentType="application/vnd.openxmlformats-officedocument.spreadsheetml.table+xml"/>
  <Override PartName="/xl/tables/table96.xml" ContentType="application/vnd.openxmlformats-officedocument.spreadsheetml.table+xml"/>
  <Override PartName="/xl/tables/table107.xml" ContentType="application/vnd.openxmlformats-officedocument.spreadsheetml.table+xml"/>
  <Override PartName="/xl/tables/table118.xml" ContentType="application/vnd.openxmlformats-officedocument.spreadsheetml.table+xml"/>
  <Override PartName="/xl/tables/table136.xml" ContentType="application/vnd.openxmlformats-officedocument.spreadsheetml.table+xml"/>
  <Override PartName="/xl/tables/table154.xml" ContentType="application/vnd.openxmlformats-officedocument.spreadsheetml.table+xml"/>
  <Override PartName="/xl/calcChain.xml" ContentType="application/vnd.openxmlformats-officedocument.spreadsheetml.calcChain+xml"/>
  <Override PartName="/xl/tables/table38.xml" ContentType="application/vnd.openxmlformats-officedocument.spreadsheetml.table+xml"/>
  <Override PartName="/xl/tables/table67.xml" ContentType="application/vnd.openxmlformats-officedocument.spreadsheetml.table+xml"/>
  <Override PartName="/xl/tables/table85.xml" ContentType="application/vnd.openxmlformats-officedocument.spreadsheetml.table+xml"/>
  <Override PartName="/xl/tables/table114.xml" ContentType="application/vnd.openxmlformats-officedocument.spreadsheetml.table+xml"/>
  <Override PartName="/xl/tables/table125.xml" ContentType="application/vnd.openxmlformats-officedocument.spreadsheetml.table+xml"/>
  <Override PartName="/xl/tables/table143.xml" ContentType="application/vnd.openxmlformats-officedocument.spreadsheetml.table+xml"/>
  <Override PartName="/xl/tables/table161.xml" ContentType="application/vnd.openxmlformats-officedocument.spreadsheetml.table+xml"/>
  <Override PartName="/xl/tables/table6.xml" ContentType="application/vnd.openxmlformats-officedocument.spreadsheetml.table+xml"/>
  <Override PartName="/xl/tables/table27.xml" ContentType="application/vnd.openxmlformats-officedocument.spreadsheetml.table+xml"/>
  <Override PartName="/xl/tables/table45.xml" ContentType="application/vnd.openxmlformats-officedocument.spreadsheetml.table+xml"/>
  <Override PartName="/xl/tables/table56.xml" ContentType="application/vnd.openxmlformats-officedocument.spreadsheetml.table+xml"/>
  <Override PartName="/xl/tables/table74.xml" ContentType="application/vnd.openxmlformats-officedocument.spreadsheetml.table+xml"/>
  <Override PartName="/xl/tables/table92.xml" ContentType="application/vnd.openxmlformats-officedocument.spreadsheetml.table+xml"/>
  <Override PartName="/xl/tables/table103.xml" ContentType="application/vnd.openxmlformats-officedocument.spreadsheetml.table+xml"/>
  <Override PartName="/xl/tables/table132.xml" ContentType="application/vnd.openxmlformats-officedocument.spreadsheetml.table+xml"/>
  <Override PartName="/xl/tables/table150.xml" ContentType="application/vnd.openxmlformats-officedocument.spreadsheetml.table+xml"/>
  <Override PartName="/xl/comments11.xml" ContentType="application/vnd.openxmlformats-officedocument.spreadsheetml.comments+xml"/>
  <Override PartName="/xl/commentsmeta5" ContentType="application/binary"/>
  <Override PartName="/docProps/core.xml" ContentType="application/vnd.openxmlformats-package.core-properties+xml"/>
  <Override PartName="/xl/tables/table16.xml" ContentType="application/vnd.openxmlformats-officedocument.spreadsheetml.table+xml"/>
  <Override PartName="/xl/tables/table34.xml" ContentType="application/vnd.openxmlformats-officedocument.spreadsheetml.table+xml"/>
  <Override PartName="/xl/tables/table63.xml" ContentType="application/vnd.openxmlformats-officedocument.spreadsheetml.table+xml"/>
  <Override PartName="/xl/tables/table81.xml" ContentType="application/vnd.openxmlformats-officedocument.spreadsheetml.table+xml"/>
  <Override PartName="/xl/tables/table110.xml" ContentType="application/vnd.openxmlformats-officedocument.spreadsheetml.table+xml"/>
  <Override PartName="/xl/tables/table121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tables/table2.xml" ContentType="application/vnd.openxmlformats-officedocument.spreadsheetml.table+xml"/>
  <Override PartName="/xl/tables/table23.xml" ContentType="application/vnd.openxmlformats-officedocument.spreadsheetml.table+xml"/>
  <Override PartName="/xl/tables/table41.xml" ContentType="application/vnd.openxmlformats-officedocument.spreadsheetml.table+xml"/>
  <Override PartName="/xl/tables/table52.xml" ContentType="application/vnd.openxmlformats-officedocument.spreadsheetml.table+xml"/>
  <Override PartName="/xl/tables/table70.xml" ContentType="application/vnd.openxmlformats-officedocument.spreadsheetml.table+xml"/>
  <Override PartName="/xl/worksheets/sheet11.xml" ContentType="application/vnd.openxmlformats-officedocument.spreadsheetml.worksheet+xml"/>
  <Override PartName="/xl/tables/table12.xml" ContentType="application/vnd.openxmlformats-officedocument.spreadsheetml.table+xml"/>
  <Override PartName="/xl/tables/table30.xml" ContentType="application/vnd.openxmlformats-officedocument.spreadsheetml.table+xml"/>
  <Override PartName="/xl/comments6.xml" ContentType="application/vnd.openxmlformats-officedocument.spreadsheetml.comments+xml"/>
  <Default Extension="rels" ContentType="application/vnd.openxmlformats-package.relationships+xml"/>
  <Override PartName="/xl/worksheets/sheet5.xml" ContentType="application/vnd.openxmlformats-officedocument.spreadsheetml.worksheet+xml"/>
  <Override PartName="/xl/tables/table159.xml" ContentType="application/vnd.openxmlformats-officedocument.spreadsheetml.table+xml"/>
  <Override PartName="/xl/comments2.xml" ContentType="application/vnd.openxmlformats-officedocument.spreadsheetml.comments+xml"/>
  <Override PartName="/xl/tables/table119.xml" ContentType="application/vnd.openxmlformats-officedocument.spreadsheetml.table+xml"/>
  <Override PartName="/xl/tables/table137.xml" ContentType="application/vnd.openxmlformats-officedocument.spreadsheetml.table+xml"/>
  <Override PartName="/xl/tables/table148.xml" ContentType="application/vnd.openxmlformats-officedocument.spreadsheetml.table+xml"/>
  <Override PartName="/xl/worksheets/sheet1.xml" ContentType="application/vnd.openxmlformats-officedocument.spreadsheetml.worksheet+xml"/>
  <Override PartName="/xl/tables/table68.xml" ContentType="application/vnd.openxmlformats-officedocument.spreadsheetml.table+xml"/>
  <Override PartName="/xl/tables/table79.xml" ContentType="application/vnd.openxmlformats-officedocument.spreadsheetml.table+xml"/>
  <Override PartName="/xl/tables/table97.xml" ContentType="application/vnd.openxmlformats-officedocument.spreadsheetml.table+xml"/>
  <Override PartName="/xl/tables/table108.xml" ContentType="application/vnd.openxmlformats-officedocument.spreadsheetml.table+xml"/>
  <Override PartName="/xl/tables/table126.xml" ContentType="application/vnd.openxmlformats-officedocument.spreadsheetml.table+xml"/>
  <Override PartName="/xl/tables/table155.xml" ContentType="application/vnd.openxmlformats-officedocument.spreadsheetml.table+xml"/>
  <Override PartName="/xl/commentsmeta1" ContentType="application/binary"/>
  <Override PartName="/xl/commentsmeta6" ContentType="application/binary"/>
  <Override PartName="/xl/tables/table7.xml" ContentType="application/vnd.openxmlformats-officedocument.spreadsheetml.table+xml"/>
  <Override PartName="/xl/tables/table39.xml" ContentType="application/vnd.openxmlformats-officedocument.spreadsheetml.table+xml"/>
  <Override PartName="/xl/tables/table57.xml" ContentType="application/vnd.openxmlformats-officedocument.spreadsheetml.table+xml"/>
  <Override PartName="/xl/tables/table86.xml" ContentType="application/vnd.openxmlformats-officedocument.spreadsheetml.table+xml"/>
  <Override PartName="/xl/tables/table115.xml" ContentType="application/vnd.openxmlformats-officedocument.spreadsheetml.table+xml"/>
  <Override PartName="/xl/tables/table133.xml" ContentType="application/vnd.openxmlformats-officedocument.spreadsheetml.table+xml"/>
  <Override PartName="/xl/tables/table144.xml" ContentType="application/vnd.openxmlformats-officedocument.spreadsheetml.table+xml"/>
  <Override PartName="/xl/tables/table162.xml" ContentType="application/vnd.openxmlformats-officedocument.spreadsheetml.table+xml"/>
  <Override PartName="/xl/tables/table17.xml" ContentType="application/vnd.openxmlformats-officedocument.spreadsheetml.table+xml"/>
  <Override PartName="/xl/tables/table28.xml" ContentType="application/vnd.openxmlformats-officedocument.spreadsheetml.table+xml"/>
  <Override PartName="/xl/tables/table46.xml" ContentType="application/vnd.openxmlformats-officedocument.spreadsheetml.table+xml"/>
  <Override PartName="/xl/tables/table64.xml" ContentType="application/vnd.openxmlformats-officedocument.spreadsheetml.table+xml"/>
  <Override PartName="/xl/tables/table75.xml" ContentType="application/vnd.openxmlformats-officedocument.spreadsheetml.table+xml"/>
  <Override PartName="/xl/tables/table93.xml" ContentType="application/vnd.openxmlformats-officedocument.spreadsheetml.table+xml"/>
  <Override PartName="/xl/tables/table104.xml" ContentType="application/vnd.openxmlformats-officedocument.spreadsheetml.table+xml"/>
  <Override PartName="/xl/tables/table122.xml" ContentType="application/vnd.openxmlformats-officedocument.spreadsheetml.table+xml"/>
  <Override PartName="/xl/tables/table140.xml" ContentType="application/vnd.openxmlformats-officedocument.spreadsheetml.table+xml"/>
  <Override PartName="/xl/tables/table151.xml" ContentType="application/vnd.openxmlformats-officedocument.spreadsheetml.table+xml"/>
  <Override PartName="/xl/tables/table3.xml" ContentType="application/vnd.openxmlformats-officedocument.spreadsheetml.table+xml"/>
  <Override PartName="/xl/tables/table24.xml" ContentType="application/vnd.openxmlformats-officedocument.spreadsheetml.table+xml"/>
  <Override PartName="/xl/tables/table35.xml" ContentType="application/vnd.openxmlformats-officedocument.spreadsheetml.table+xml"/>
  <Override PartName="/xl/tables/table53.xml" ContentType="application/vnd.openxmlformats-officedocument.spreadsheetml.table+xml"/>
  <Override PartName="/xl/tables/table71.xml" ContentType="application/vnd.openxmlformats-officedocument.spreadsheetml.table+xml"/>
  <Override PartName="/xl/tables/table82.xml" ContentType="application/vnd.openxmlformats-officedocument.spreadsheetml.table+xml"/>
  <Override PartName="/xl/tables/table111.xml" ContentType="application/vnd.openxmlformats-officedocument.spreadsheetml.table+xml"/>
  <Override PartName="/xl/tables/table13.xml" ContentType="application/vnd.openxmlformats-officedocument.spreadsheetml.table+xml"/>
  <Override PartName="/xl/tables/table42.xml" ContentType="application/vnd.openxmlformats-officedocument.spreadsheetml.table+xml"/>
  <Override PartName="/xl/tables/table60.xml" ContentType="application/vnd.openxmlformats-officedocument.spreadsheetml.table+xml"/>
  <Override PartName="/xl/tables/table100.xml" ContentType="application/vnd.openxmlformats-officedocument.spreadsheetml.table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tables/table20.xml" ContentType="application/vnd.openxmlformats-officedocument.spreadsheetml.table+xml"/>
  <Override PartName="/xl/tables/table31.xml" ContentType="application/vnd.openxmlformats-officedocument.spreadsheetml.table+xml"/>
  <Override PartName="/xl/comments7.xml" ContentType="application/vnd.openxmlformats-officedocument.spreadsheetml.comments+xml"/>
  <Override PartName="/xl/tables/table149.xml" ContentType="application/vnd.openxmlformats-officedocument.spreadsheetml.table+xml"/>
  <Override PartName="/xl/commentsmeta7" ContentType="application/binary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tables/table109.xml" ContentType="application/vnd.openxmlformats-officedocument.spreadsheetml.table+xml"/>
  <Override PartName="/xl/tables/table138.xml" ContentType="application/vnd.openxmlformats-officedocument.spreadsheetml.table+xml"/>
  <Override PartName="/xl/tables/table156.xml" ContentType="application/vnd.openxmlformats-officedocument.spreadsheetml.table+xml"/>
  <Override PartName="/xl/commentsmeta2" ContentType="application/binary"/>
  <Override PartName="/xl/commentsmeta10" ContentType="application/binary"/>
  <Override PartName="/xl/tables/table69.xml" ContentType="application/vnd.openxmlformats-officedocument.spreadsheetml.table+xml"/>
  <Override PartName="/xl/tables/table87.xml" ContentType="application/vnd.openxmlformats-officedocument.spreadsheetml.table+xml"/>
  <Override PartName="/xl/tables/table98.xml" ContentType="application/vnd.openxmlformats-officedocument.spreadsheetml.table+xml"/>
  <Override PartName="/xl/tables/table116.xml" ContentType="application/vnd.openxmlformats-officedocument.spreadsheetml.table+xml"/>
  <Override PartName="/xl/tables/table127.xml" ContentType="application/vnd.openxmlformats-officedocument.spreadsheetml.table+xml"/>
  <Override PartName="/xl/tables/table145.xml" ContentType="application/vnd.openxmlformats-officedocument.spreadsheetml.table+xml"/>
  <Override PartName="/xl/tables/table163.xml" ContentType="application/vnd.openxmlformats-officedocument.spreadsheetml.table+xml"/>
  <Override PartName="/xl/tables/table8.xml" ContentType="application/vnd.openxmlformats-officedocument.spreadsheetml.table+xml"/>
  <Override PartName="/xl/tables/table29.xml" ContentType="application/vnd.openxmlformats-officedocument.spreadsheetml.table+xml"/>
  <Override PartName="/xl/tables/table47.xml" ContentType="application/vnd.openxmlformats-officedocument.spreadsheetml.table+xml"/>
  <Override PartName="/xl/tables/table58.xml" ContentType="application/vnd.openxmlformats-officedocument.spreadsheetml.table+xml"/>
  <Override PartName="/xl/tables/table76.xml" ContentType="application/vnd.openxmlformats-officedocument.spreadsheetml.table+xml"/>
  <Override PartName="/xl/tables/table94.xml" ContentType="application/vnd.openxmlformats-officedocument.spreadsheetml.table+xml"/>
  <Override PartName="/xl/tables/table105.xml" ContentType="application/vnd.openxmlformats-officedocument.spreadsheetml.table+xml"/>
  <Override PartName="/xl/tables/table134.xml" ContentType="application/vnd.openxmlformats-officedocument.spreadsheetml.table+xml"/>
  <Override PartName="/xl/tables/table152.xml" ContentType="application/vnd.openxmlformats-officedocument.spreadsheetml.table+xml"/>
  <Override PartName="/xl/tables/table18.xml" ContentType="application/vnd.openxmlformats-officedocument.spreadsheetml.table+xml"/>
  <Override PartName="/xl/tables/table36.xml" ContentType="application/vnd.openxmlformats-officedocument.spreadsheetml.table+xml"/>
  <Override PartName="/xl/tables/table65.xml" ContentType="application/vnd.openxmlformats-officedocument.spreadsheetml.table+xml"/>
  <Override PartName="/xl/tables/table83.xml" ContentType="application/vnd.openxmlformats-officedocument.spreadsheetml.table+xml"/>
  <Override PartName="/xl/tables/table112.xml" ContentType="application/vnd.openxmlformats-officedocument.spreadsheetml.table+xml"/>
  <Override PartName="/xl/tables/table123.xml" ContentType="application/vnd.openxmlformats-officedocument.spreadsheetml.table+xml"/>
  <Override PartName="/xl/tables/table141.xml" ContentType="application/vnd.openxmlformats-officedocument.spreadsheetml.table+xml"/>
  <Override PartName="/xl/tables/table4.xml" ContentType="application/vnd.openxmlformats-officedocument.spreadsheetml.table+xml"/>
  <Override PartName="/xl/tables/table43.xml" ContentType="application/vnd.openxmlformats-officedocument.spreadsheetml.table+xml"/>
  <Override PartName="/xl/tables/table54.xml" ContentType="application/vnd.openxmlformats-officedocument.spreadsheetml.table+xml"/>
  <Override PartName="/xl/tables/table90.xml" ContentType="application/vnd.openxmlformats-officedocument.spreadsheetml.table+xml"/>
  <Override PartName="/xl/tables/table130.xml" ContentType="application/vnd.openxmlformats-officedocument.spreadsheetml.table+xml"/>
  <Override PartName="/xl/tables/table32.xml" ContentType="application/vnd.openxmlformats-officedocument.spreadsheetml.table+xml"/>
  <Override PartName="/xl/worksheets/sheet7.xml" ContentType="application/vnd.openxmlformats-officedocument.spreadsheetml.worksheet+xml"/>
  <Override PartName="/xl/tables/table21.xml" ContentType="application/vnd.openxmlformats-officedocument.spreadsheetml.table+xml"/>
  <Override PartName="/xl/commentsmeta8" ContentType="application/binary"/>
  <Override PartName="/xl/commentsmeta1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90" yWindow="550" windowWidth="18880" windowHeight="6740" firstSheet="1" activeTab="1"/>
  </bookViews>
  <sheets>
    <sheet name="Encarregado" sheetId="2" state="hidden" r:id="rId1"/>
    <sheet name="Quadro Resumo" sheetId="3" r:id="rId2"/>
    <sheet name="Monitor de Sistemas Eletrônicos" sheetId="4" r:id="rId3"/>
    <sheet name="Almoxarife" sheetId="5" r:id="rId4"/>
    <sheet name="Recepcionista" sheetId="6" r:id="rId5"/>
    <sheet name="Operador de Fotocopiadora" sheetId="7" r:id="rId6"/>
    <sheet name="Copeiro" sheetId="8" r:id="rId7"/>
    <sheet name="Mont. Equip. Elet." sheetId="9" r:id="rId8"/>
    <sheet name="Jardineiro" sheetId="10" r:id="rId9"/>
    <sheet name="Manut. Predial" sheetId="11" r:id="rId10"/>
    <sheet name="Eletricista" sheetId="12" r:id="rId11"/>
    <sheet name="THB" sheetId="13" r:id="rId12"/>
    <sheet name="Uniformes EPI EPC" sheetId="14" r:id="rId13"/>
  </sheets>
  <definedNames>
    <definedName name="_1A" localSheetId="0">Encarregado!$D$11</definedName>
    <definedName name="_1A">#REF!</definedName>
    <definedName name="_1B" localSheetId="0">Encarregado!$D$12</definedName>
    <definedName name="_1B">#REF!</definedName>
    <definedName name="_1C" localSheetId="0">Encarregado!$D$13</definedName>
    <definedName name="_1C">#REF!</definedName>
    <definedName name="_1D" localSheetId="0">Encarregado!$D$14</definedName>
    <definedName name="_1D">#REF!</definedName>
    <definedName name="_1E" localSheetId="0">Encarregado!$D$15</definedName>
    <definedName name="_1E">#REF!</definedName>
    <definedName name="_1F" localSheetId="0">Encarregado!$D$16</definedName>
    <definedName name="_1F">#REF!</definedName>
    <definedName name="_2.1A" localSheetId="0">Encarregado!$D$22</definedName>
    <definedName name="_2.1A">#REF!</definedName>
    <definedName name="_2.1B" localSheetId="0">Encarregado!$D$23</definedName>
    <definedName name="_2.1B">#REF!</definedName>
    <definedName name="_2.3A" localSheetId="0">Encarregado!$D$49</definedName>
    <definedName name="_2.3A">#REF!</definedName>
    <definedName name="_2.3B" localSheetId="0">Encarregado!$D$50</definedName>
    <definedName name="_2.3B">#REF!</definedName>
    <definedName name="_2.3C" localSheetId="0">Encarregado!$D$51</definedName>
    <definedName name="_2.3C">#REF!</definedName>
    <definedName name="_2.3D" localSheetId="0">Encarregado!$D$52</definedName>
    <definedName name="_2.3D">#REF!</definedName>
    <definedName name="Salário_Normativo_da_Categoria_Profissional" localSheetId="0">Encarregado!$D$5</definedName>
    <definedName name="Salário_Normativo_da_Categoria_Profissional">#REF!</definedName>
    <definedName name="SalarioBase" localSheetId="0">Encarregado!$D$5</definedName>
    <definedName name="SalarioBase">#REF!</definedName>
    <definedName name="Total1" localSheetId="0">#REF!</definedName>
    <definedName name="Total1">#REF!</definedName>
    <definedName name="Total2.1" localSheetId="0">#REF!</definedName>
    <definedName name="Total2.1">#REF!</definedName>
    <definedName name="Total2.2" localSheetId="0">#REF!</definedName>
    <definedName name="Total2.2">#REF!</definedName>
    <definedName name="Total2.3" localSheetId="0">#REF!</definedName>
    <definedName name="Total2.3">#REF!</definedName>
  </definedNames>
  <calcPr calcId="124519"/>
  <extLst>
    <ext uri="GoogleSheetsCustomDataVersion1">
      <go:sheetsCustomData xmlns:go="http://customooxmlschemas.google.com/" r:id="rId18" roundtripDataSignature="AMtx7mg5QgJh+pPHXvXjPofN2t9pDTwHkg=="/>
    </ext>
  </extLst>
</workbook>
</file>

<file path=xl/calcChain.xml><?xml version="1.0" encoding="utf-8"?>
<calcChain xmlns="http://schemas.openxmlformats.org/spreadsheetml/2006/main">
  <c r="F52" i="14"/>
  <c r="F51"/>
  <c r="F50"/>
  <c r="F49"/>
  <c r="F53" s="1"/>
  <c r="F54" s="1"/>
  <c r="F42"/>
  <c r="F41"/>
  <c r="F40"/>
  <c r="F43" s="1"/>
  <c r="F44" s="1"/>
  <c r="F33"/>
  <c r="F32"/>
  <c r="F31"/>
  <c r="F30"/>
  <c r="F34" s="1"/>
  <c r="F35" s="1"/>
  <c r="F23"/>
  <c r="F22"/>
  <c r="F21"/>
  <c r="F20"/>
  <c r="F24" s="1"/>
  <c r="F25" s="1"/>
  <c r="F13"/>
  <c r="F12"/>
  <c r="F11"/>
  <c r="F14" s="1"/>
  <c r="F15" s="1"/>
  <c r="F4"/>
  <c r="F3"/>
  <c r="F5" s="1"/>
  <c r="F6" s="1"/>
  <c r="C114" i="13"/>
  <c r="G113"/>
  <c r="G111"/>
  <c r="D101"/>
  <c r="D107" s="1"/>
  <c r="D87"/>
  <c r="D92" s="1"/>
  <c r="C82"/>
  <c r="C80"/>
  <c r="C79"/>
  <c r="C78"/>
  <c r="C77"/>
  <c r="C76"/>
  <c r="C65"/>
  <c r="C63"/>
  <c r="C62"/>
  <c r="C60"/>
  <c r="D49"/>
  <c r="D55" s="1"/>
  <c r="D45"/>
  <c r="D44"/>
  <c r="C40"/>
  <c r="C64" s="1"/>
  <c r="C23"/>
  <c r="C22"/>
  <c r="D13"/>
  <c r="D17" s="1"/>
  <c r="D11"/>
  <c r="C114" i="12"/>
  <c r="G111" s="1"/>
  <c r="G113"/>
  <c r="D101"/>
  <c r="D107" s="1"/>
  <c r="D92"/>
  <c r="D87"/>
  <c r="C82"/>
  <c r="C80"/>
  <c r="C79"/>
  <c r="C78"/>
  <c r="C77"/>
  <c r="C76"/>
  <c r="C65"/>
  <c r="C63"/>
  <c r="C62"/>
  <c r="C60"/>
  <c r="D49"/>
  <c r="D55" s="1"/>
  <c r="D45"/>
  <c r="D44"/>
  <c r="C40"/>
  <c r="C64" s="1"/>
  <c r="C23"/>
  <c r="C22"/>
  <c r="D12"/>
  <c r="D17" s="1"/>
  <c r="D11"/>
  <c r="C114" i="11"/>
  <c r="G111" s="1"/>
  <c r="G113"/>
  <c r="D101"/>
  <c r="D107" s="1"/>
  <c r="D87"/>
  <c r="D92" s="1"/>
  <c r="C82"/>
  <c r="C80"/>
  <c r="C79"/>
  <c r="C78"/>
  <c r="C77"/>
  <c r="C76"/>
  <c r="C65"/>
  <c r="C63"/>
  <c r="C62"/>
  <c r="C60"/>
  <c r="D49"/>
  <c r="D55" s="1"/>
  <c r="D45"/>
  <c r="D44"/>
  <c r="C40"/>
  <c r="C64" s="1"/>
  <c r="C23"/>
  <c r="C22"/>
  <c r="D11"/>
  <c r="D17" s="1"/>
  <c r="D126" i="10"/>
  <c r="C114"/>
  <c r="G113"/>
  <c r="G111"/>
  <c r="D107"/>
  <c r="D103"/>
  <c r="D101"/>
  <c r="D87"/>
  <c r="D92" s="1"/>
  <c r="C80"/>
  <c r="C79"/>
  <c r="C78"/>
  <c r="C77"/>
  <c r="C82" s="1"/>
  <c r="C76"/>
  <c r="D65"/>
  <c r="C65"/>
  <c r="C63"/>
  <c r="C62"/>
  <c r="C60"/>
  <c r="D45"/>
  <c r="D49" s="1"/>
  <c r="D55" s="1"/>
  <c r="D44"/>
  <c r="C40"/>
  <c r="C64" s="1"/>
  <c r="D23"/>
  <c r="C23"/>
  <c r="C22"/>
  <c r="D17"/>
  <c r="D122" s="1"/>
  <c r="D11"/>
  <c r="C114" i="9"/>
  <c r="G111" s="1"/>
  <c r="G113"/>
  <c r="D101"/>
  <c r="D107" s="1"/>
  <c r="D87"/>
  <c r="D92" s="1"/>
  <c r="C80"/>
  <c r="C79"/>
  <c r="C78"/>
  <c r="C77"/>
  <c r="C82" s="1"/>
  <c r="C76"/>
  <c r="C65"/>
  <c r="C63"/>
  <c r="C62"/>
  <c r="C60"/>
  <c r="D45"/>
  <c r="D44"/>
  <c r="D49" s="1"/>
  <c r="D55" s="1"/>
  <c r="C40"/>
  <c r="C64" s="1"/>
  <c r="C23"/>
  <c r="C22"/>
  <c r="D11"/>
  <c r="D17" s="1"/>
  <c r="D126" i="8"/>
  <c r="C114"/>
  <c r="G113"/>
  <c r="G111"/>
  <c r="D101"/>
  <c r="D107" s="1"/>
  <c r="D87"/>
  <c r="D92" s="1"/>
  <c r="C80"/>
  <c r="C79"/>
  <c r="C78"/>
  <c r="C77"/>
  <c r="C76"/>
  <c r="C82" s="1"/>
  <c r="C65"/>
  <c r="C63"/>
  <c r="C62"/>
  <c r="C60"/>
  <c r="D45"/>
  <c r="D44"/>
  <c r="D49" s="1"/>
  <c r="D55" s="1"/>
  <c r="C40"/>
  <c r="C64" s="1"/>
  <c r="C23"/>
  <c r="C22"/>
  <c r="D11"/>
  <c r="D17" s="1"/>
  <c r="C114" i="7"/>
  <c r="G113"/>
  <c r="G111"/>
  <c r="D101"/>
  <c r="D126" s="1"/>
  <c r="D87"/>
  <c r="D92" s="1"/>
  <c r="C80"/>
  <c r="C79"/>
  <c r="C78"/>
  <c r="C77"/>
  <c r="C76"/>
  <c r="C82" s="1"/>
  <c r="C65"/>
  <c r="C63"/>
  <c r="C62"/>
  <c r="C60"/>
  <c r="D45"/>
  <c r="D44"/>
  <c r="D49" s="1"/>
  <c r="D55" s="1"/>
  <c r="C40"/>
  <c r="C64" s="1"/>
  <c r="C23"/>
  <c r="C22"/>
  <c r="D11"/>
  <c r="D17" s="1"/>
  <c r="D126" i="6"/>
  <c r="C114"/>
  <c r="G113"/>
  <c r="G111"/>
  <c r="D107"/>
  <c r="D101"/>
  <c r="D87"/>
  <c r="D92" s="1"/>
  <c r="C80"/>
  <c r="C79"/>
  <c r="C78"/>
  <c r="C77"/>
  <c r="C76"/>
  <c r="C82" s="1"/>
  <c r="C65"/>
  <c r="C63"/>
  <c r="C62"/>
  <c r="C60"/>
  <c r="D45"/>
  <c r="D44"/>
  <c r="D49" s="1"/>
  <c r="D55" s="1"/>
  <c r="C40"/>
  <c r="C64" s="1"/>
  <c r="C23"/>
  <c r="C22"/>
  <c r="D11"/>
  <c r="D17" s="1"/>
  <c r="D126" i="5"/>
  <c r="C114"/>
  <c r="G113"/>
  <c r="G111"/>
  <c r="D107"/>
  <c r="D101"/>
  <c r="D87"/>
  <c r="D92" s="1"/>
  <c r="C80"/>
  <c r="C79"/>
  <c r="C78"/>
  <c r="C77"/>
  <c r="C76"/>
  <c r="C82" s="1"/>
  <c r="C65"/>
  <c r="C63"/>
  <c r="C62"/>
  <c r="C60"/>
  <c r="D45"/>
  <c r="D44"/>
  <c r="D49" s="1"/>
  <c r="D55" s="1"/>
  <c r="C40"/>
  <c r="C64" s="1"/>
  <c r="C23"/>
  <c r="C22"/>
  <c r="D17"/>
  <c r="D22" s="1"/>
  <c r="D11"/>
  <c r="C114" i="4"/>
  <c r="G111" s="1"/>
  <c r="G113"/>
  <c r="D101"/>
  <c r="D126" s="1"/>
  <c r="D87"/>
  <c r="D92" s="1"/>
  <c r="C80"/>
  <c r="C79"/>
  <c r="C78"/>
  <c r="C77"/>
  <c r="C76"/>
  <c r="C65"/>
  <c r="C63"/>
  <c r="C62"/>
  <c r="C60"/>
  <c r="D45"/>
  <c r="D44"/>
  <c r="C40"/>
  <c r="C64" s="1"/>
  <c r="C23"/>
  <c r="C22"/>
  <c r="D11"/>
  <c r="D16" s="1"/>
  <c r="D17" s="1"/>
  <c r="H25" i="3"/>
  <c r="G25"/>
  <c r="H24"/>
  <c r="H26" s="1"/>
  <c r="G24"/>
  <c r="G13"/>
  <c r="H13" s="1"/>
  <c r="G12"/>
  <c r="H12" s="1"/>
  <c r="G11"/>
  <c r="H11" s="1"/>
  <c r="G10"/>
  <c r="H10" s="1"/>
  <c r="G9"/>
  <c r="H9" s="1"/>
  <c r="G8"/>
  <c r="H8" s="1"/>
  <c r="G7"/>
  <c r="H7" s="1"/>
  <c r="G6"/>
  <c r="H6" s="1"/>
  <c r="G5"/>
  <c r="H5" s="1"/>
  <c r="G4"/>
  <c r="H4" s="1"/>
  <c r="D145" i="2"/>
  <c r="D144"/>
  <c r="C137"/>
  <c r="C134" s="1"/>
  <c r="C136"/>
  <c r="C135"/>
  <c r="C133"/>
  <c r="C132"/>
  <c r="D117"/>
  <c r="D121" s="1"/>
  <c r="D147" s="1"/>
  <c r="D107"/>
  <c r="D112" s="1"/>
  <c r="C96"/>
  <c r="D64"/>
  <c r="D50"/>
  <c r="C35"/>
  <c r="C41" s="1"/>
  <c r="D11"/>
  <c r="D17" s="1"/>
  <c r="D49" l="1"/>
  <c r="D54" s="1"/>
  <c r="D65" s="1"/>
  <c r="D49" i="4"/>
  <c r="D55" s="1"/>
  <c r="C82"/>
  <c r="D107"/>
  <c r="D22" i="6"/>
  <c r="D24" s="1"/>
  <c r="D60"/>
  <c r="D65"/>
  <c r="D23"/>
  <c r="D103"/>
  <c r="D68"/>
  <c r="D62"/>
  <c r="D26"/>
  <c r="D122"/>
  <c r="D63"/>
  <c r="D64" s="1"/>
  <c r="D122" i="12"/>
  <c r="D68"/>
  <c r="D62"/>
  <c r="D26"/>
  <c r="D63"/>
  <c r="D64" s="1"/>
  <c r="D22"/>
  <c r="D60"/>
  <c r="D103"/>
  <c r="D65"/>
  <c r="D23"/>
  <c r="D60" i="8"/>
  <c r="D103"/>
  <c r="D65"/>
  <c r="D23"/>
  <c r="D122"/>
  <c r="D68"/>
  <c r="D62"/>
  <c r="D26"/>
  <c r="D63"/>
  <c r="D64" s="1"/>
  <c r="D22"/>
  <c r="D24" s="1"/>
  <c r="D122" i="13"/>
  <c r="D68"/>
  <c r="D62"/>
  <c r="D26"/>
  <c r="D63"/>
  <c r="D64" s="1"/>
  <c r="D22"/>
  <c r="D24" s="1"/>
  <c r="D60"/>
  <c r="D103"/>
  <c r="D65"/>
  <c r="D23"/>
  <c r="H14" i="3"/>
  <c r="D22" i="7"/>
  <c r="D24" s="1"/>
  <c r="D60"/>
  <c r="D103"/>
  <c r="D65"/>
  <c r="D23"/>
  <c r="D122"/>
  <c r="D68"/>
  <c r="D62"/>
  <c r="D26"/>
  <c r="D63"/>
  <c r="D64" s="1"/>
  <c r="D63" i="4"/>
  <c r="D64" s="1"/>
  <c r="D22"/>
  <c r="D60"/>
  <c r="D23"/>
  <c r="D103"/>
  <c r="D65"/>
  <c r="D26"/>
  <c r="D122"/>
  <c r="D68"/>
  <c r="D62"/>
  <c r="D103" i="9"/>
  <c r="D65"/>
  <c r="D23"/>
  <c r="D122"/>
  <c r="D68"/>
  <c r="D62"/>
  <c r="D26"/>
  <c r="D63"/>
  <c r="D64" s="1"/>
  <c r="D22"/>
  <c r="D60"/>
  <c r="D24" i="5"/>
  <c r="D122" i="11"/>
  <c r="D68"/>
  <c r="D62"/>
  <c r="D26"/>
  <c r="D63"/>
  <c r="D64" s="1"/>
  <c r="D22"/>
  <c r="D24" s="1"/>
  <c r="D60"/>
  <c r="D103"/>
  <c r="D65"/>
  <c r="D23"/>
  <c r="D63" i="5"/>
  <c r="D64" s="1"/>
  <c r="D23" i="2"/>
  <c r="D107" i="7"/>
  <c r="D126" i="9"/>
  <c r="D60" i="10"/>
  <c r="D22" i="2"/>
  <c r="D73"/>
  <c r="D26" i="5"/>
  <c r="D62"/>
  <c r="D68"/>
  <c r="D122"/>
  <c r="D22" i="10"/>
  <c r="D24" s="1"/>
  <c r="D126" i="11"/>
  <c r="D126" i="12"/>
  <c r="D126" i="13"/>
  <c r="D143" i="2"/>
  <c r="D23" i="5"/>
  <c r="D65"/>
  <c r="D103"/>
  <c r="D63" i="10"/>
  <c r="D64" s="1"/>
  <c r="D60" i="5"/>
  <c r="G25" i="2"/>
  <c r="D94" s="1"/>
  <c r="D26" i="10"/>
  <c r="D62"/>
  <c r="D68"/>
  <c r="D24" i="4" l="1"/>
  <c r="D27" s="1"/>
  <c r="D28" s="1"/>
  <c r="D53" i="11"/>
  <c r="D27"/>
  <c r="D28" s="1"/>
  <c r="D53" i="7"/>
  <c r="D27"/>
  <c r="D61"/>
  <c r="D66" s="1"/>
  <c r="D61" i="13"/>
  <c r="D66" s="1"/>
  <c r="D61" i="8"/>
  <c r="D66"/>
  <c r="D53" i="6"/>
  <c r="D27"/>
  <c r="D53" i="13"/>
  <c r="D27"/>
  <c r="D28" s="1"/>
  <c r="D53" i="8"/>
  <c r="D27"/>
  <c r="D61" i="10"/>
  <c r="D66" s="1"/>
  <c r="D53" i="4"/>
  <c r="D61" i="12"/>
  <c r="D66" s="1"/>
  <c r="D61" i="11"/>
  <c r="D66" s="1"/>
  <c r="D61" i="5"/>
  <c r="D66" s="1"/>
  <c r="D61" i="4"/>
  <c r="D66" s="1"/>
  <c r="D61" i="6"/>
  <c r="D66" s="1"/>
  <c r="D53" i="5"/>
  <c r="D27"/>
  <c r="D28" s="1"/>
  <c r="D53" i="10"/>
  <c r="D27"/>
  <c r="D61" i="9"/>
  <c r="D66" s="1"/>
  <c r="D28" i="7"/>
  <c r="D28" i="8"/>
  <c r="D28" i="10"/>
  <c r="D24" i="9"/>
  <c r="D24" i="2"/>
  <c r="D24" i="12"/>
  <c r="D28" i="6"/>
  <c r="D105" i="10" l="1"/>
  <c r="D124"/>
  <c r="D70"/>
  <c r="D37" i="11"/>
  <c r="D38"/>
  <c r="D39"/>
  <c r="D32"/>
  <c r="D33"/>
  <c r="D34"/>
  <c r="D35"/>
  <c r="D36"/>
  <c r="D32" i="4"/>
  <c r="D33"/>
  <c r="D34"/>
  <c r="D35"/>
  <c r="D36"/>
  <c r="D37"/>
  <c r="D38"/>
  <c r="D39"/>
  <c r="D105" i="11"/>
  <c r="D124"/>
  <c r="D70"/>
  <c r="D124" i="4"/>
  <c r="D70"/>
  <c r="D105"/>
  <c r="D105" i="7"/>
  <c r="D124"/>
  <c r="D70"/>
  <c r="D32" i="5"/>
  <c r="D33"/>
  <c r="D34"/>
  <c r="D35"/>
  <c r="D36"/>
  <c r="D37"/>
  <c r="D38"/>
  <c r="D39"/>
  <c r="D105" i="12"/>
  <c r="D124"/>
  <c r="D70"/>
  <c r="D105" i="9"/>
  <c r="D124"/>
  <c r="D70"/>
  <c r="D105" i="5"/>
  <c r="D70"/>
  <c r="D124"/>
  <c r="D37" i="13"/>
  <c r="D38"/>
  <c r="D39"/>
  <c r="D32"/>
  <c r="D40" s="1"/>
  <c r="D54" s="1"/>
  <c r="D56" s="1"/>
  <c r="D33"/>
  <c r="D34"/>
  <c r="D35"/>
  <c r="D36"/>
  <c r="D105" i="6"/>
  <c r="D70"/>
  <c r="D124"/>
  <c r="D105" i="13"/>
  <c r="D124"/>
  <c r="D70"/>
  <c r="D53" i="12"/>
  <c r="D27"/>
  <c r="D28" s="1"/>
  <c r="D53" i="9"/>
  <c r="D27"/>
  <c r="D28" s="1"/>
  <c r="D63" i="2"/>
  <c r="D38"/>
  <c r="D37"/>
  <c r="D34"/>
  <c r="G24"/>
  <c r="D33"/>
  <c r="D40"/>
  <c r="D39"/>
  <c r="D36"/>
  <c r="D35"/>
  <c r="D105" i="8"/>
  <c r="D124"/>
  <c r="D70"/>
  <c r="D33" i="7"/>
  <c r="D34"/>
  <c r="D35"/>
  <c r="D36"/>
  <c r="D37"/>
  <c r="D38"/>
  <c r="D39"/>
  <c r="D32"/>
  <c r="D40" s="1"/>
  <c r="D54" s="1"/>
  <c r="D56" s="1"/>
  <c r="D36" i="10"/>
  <c r="D37"/>
  <c r="D38"/>
  <c r="D39"/>
  <c r="D32"/>
  <c r="D40" s="1"/>
  <c r="D54" s="1"/>
  <c r="D56" s="1"/>
  <c r="D33"/>
  <c r="D34"/>
  <c r="D35"/>
  <c r="D33" i="6"/>
  <c r="D34"/>
  <c r="D35"/>
  <c r="D36"/>
  <c r="D37"/>
  <c r="D38"/>
  <c r="D39"/>
  <c r="D32"/>
  <c r="D34" i="8"/>
  <c r="D35"/>
  <c r="D36"/>
  <c r="D37"/>
  <c r="D38"/>
  <c r="D39"/>
  <c r="D32"/>
  <c r="D33"/>
  <c r="D123" i="13" l="1"/>
  <c r="D69"/>
  <c r="D71" s="1"/>
  <c r="D104"/>
  <c r="D104" i="7"/>
  <c r="D123"/>
  <c r="D69"/>
  <c r="D71" s="1"/>
  <c r="D104" i="10"/>
  <c r="D123"/>
  <c r="D69"/>
  <c r="D71" s="1"/>
  <c r="D71" i="2"/>
  <c r="D72"/>
  <c r="D74"/>
  <c r="D35" i="9"/>
  <c r="D36"/>
  <c r="D37"/>
  <c r="D38"/>
  <c r="D39"/>
  <c r="D32"/>
  <c r="D33"/>
  <c r="D34"/>
  <c r="D40" i="8"/>
  <c r="D54" s="1"/>
  <c r="D56" s="1"/>
  <c r="D37" i="12"/>
  <c r="D38"/>
  <c r="D39"/>
  <c r="D32"/>
  <c r="D33"/>
  <c r="D34"/>
  <c r="D35"/>
  <c r="D36"/>
  <c r="D40" i="4"/>
  <c r="D54" s="1"/>
  <c r="D56" s="1"/>
  <c r="D40" i="5"/>
  <c r="D54" s="1"/>
  <c r="D56" s="1"/>
  <c r="D75" i="2"/>
  <c r="D70"/>
  <c r="D40" i="6"/>
  <c r="D54" s="1"/>
  <c r="D56" s="1"/>
  <c r="D90" i="2"/>
  <c r="D96" s="1"/>
  <c r="D111" s="1"/>
  <c r="D113" s="1"/>
  <c r="D146" s="1"/>
  <c r="D91"/>
  <c r="D92"/>
  <c r="D93"/>
  <c r="D95"/>
  <c r="D40" i="11"/>
  <c r="D54" s="1"/>
  <c r="D56" s="1"/>
  <c r="D78" i="13" l="1"/>
  <c r="D79"/>
  <c r="D80"/>
  <c r="D76"/>
  <c r="D81"/>
  <c r="D77"/>
  <c r="D40" i="9"/>
  <c r="D54" s="1"/>
  <c r="D56" s="1"/>
  <c r="D104" i="8"/>
  <c r="D123"/>
  <c r="D69"/>
  <c r="D71" s="1"/>
  <c r="D104" i="6"/>
  <c r="D69"/>
  <c r="D71" s="1"/>
  <c r="D123"/>
  <c r="D104" i="5"/>
  <c r="D123"/>
  <c r="D69"/>
  <c r="D71" s="1"/>
  <c r="D132" i="2"/>
  <c r="D148"/>
  <c r="D77" i="10"/>
  <c r="D78"/>
  <c r="D79"/>
  <c r="D80"/>
  <c r="D76"/>
  <c r="D81"/>
  <c r="D104" i="4"/>
  <c r="D123"/>
  <c r="D69"/>
  <c r="D71" s="1"/>
  <c r="D123" i="11"/>
  <c r="D69"/>
  <c r="D71" s="1"/>
  <c r="D104"/>
  <c r="D80" i="7"/>
  <c r="D76"/>
  <c r="D81"/>
  <c r="D77"/>
  <c r="D78"/>
  <c r="D79"/>
  <c r="D40" i="12"/>
  <c r="D54" s="1"/>
  <c r="D56" s="1"/>
  <c r="D82" i="10" l="1"/>
  <c r="D91" s="1"/>
  <c r="D93" s="1"/>
  <c r="D106" s="1"/>
  <c r="D108" s="1"/>
  <c r="D78" i="11"/>
  <c r="D79"/>
  <c r="D80"/>
  <c r="D76"/>
  <c r="D81"/>
  <c r="D77"/>
  <c r="D104" i="9"/>
  <c r="D123"/>
  <c r="D69"/>
  <c r="D71" s="1"/>
  <c r="D123" i="12"/>
  <c r="D69"/>
  <c r="D71" s="1"/>
  <c r="D104"/>
  <c r="D80" i="8"/>
  <c r="D76"/>
  <c r="D81"/>
  <c r="D77"/>
  <c r="D78"/>
  <c r="D79"/>
  <c r="D82" i="7"/>
  <c r="D91" s="1"/>
  <c r="D93" s="1"/>
  <c r="D79" i="5"/>
  <c r="D80"/>
  <c r="D76"/>
  <c r="D82" s="1"/>
  <c r="D91" s="1"/>
  <c r="D93" s="1"/>
  <c r="D81"/>
  <c r="D77"/>
  <c r="D78"/>
  <c r="D133" i="2"/>
  <c r="D150" s="1"/>
  <c r="D138"/>
  <c r="D149" s="1"/>
  <c r="D82" i="13"/>
  <c r="D91" s="1"/>
  <c r="D93" s="1"/>
  <c r="D79" i="4"/>
  <c r="D80"/>
  <c r="D76"/>
  <c r="D81"/>
  <c r="D77"/>
  <c r="D78"/>
  <c r="D80" i="6"/>
  <c r="D76"/>
  <c r="D81"/>
  <c r="D77"/>
  <c r="D78"/>
  <c r="D79"/>
  <c r="D125" i="10" l="1"/>
  <c r="D127" s="1"/>
  <c r="D82" i="6"/>
  <c r="D91" s="1"/>
  <c r="D93" s="1"/>
  <c r="D125" s="1"/>
  <c r="D127" s="1"/>
  <c r="D137" i="2"/>
  <c r="D136"/>
  <c r="D135"/>
  <c r="D134"/>
  <c r="D106" i="13"/>
  <c r="D108" s="1"/>
  <c r="D125"/>
  <c r="D127" s="1"/>
  <c r="D125" i="5"/>
  <c r="D127" s="1"/>
  <c r="D106"/>
  <c r="D108" s="1"/>
  <c r="D78" i="12"/>
  <c r="D79"/>
  <c r="D80"/>
  <c r="D76"/>
  <c r="D81"/>
  <c r="D77"/>
  <c r="D81" i="9"/>
  <c r="D77"/>
  <c r="D78"/>
  <c r="D79"/>
  <c r="D80"/>
  <c r="D76"/>
  <c r="D113" i="10"/>
  <c r="D112"/>
  <c r="D106" i="7"/>
  <c r="D108" s="1"/>
  <c r="D125"/>
  <c r="D127" s="1"/>
  <c r="D82" i="4"/>
  <c r="D91" s="1"/>
  <c r="D93" s="1"/>
  <c r="D82" i="8"/>
  <c r="D91" s="1"/>
  <c r="D93" s="1"/>
  <c r="D82" i="11"/>
  <c r="D91" s="1"/>
  <c r="D93" s="1"/>
  <c r="D106" i="6" l="1"/>
  <c r="D108" s="1"/>
  <c r="D112" s="1"/>
  <c r="G112" i="10"/>
  <c r="G114" s="1"/>
  <c r="D116" s="1"/>
  <c r="D125" i="4"/>
  <c r="D127" s="1"/>
  <c r="D106"/>
  <c r="D108" s="1"/>
  <c r="D106" i="8"/>
  <c r="D108" s="1"/>
  <c r="D125"/>
  <c r="D127" s="1"/>
  <c r="D112" i="13"/>
  <c r="D113" s="1"/>
  <c r="D106" i="11"/>
  <c r="D108" s="1"/>
  <c r="D125"/>
  <c r="D127" s="1"/>
  <c r="D112" i="7"/>
  <c r="D112" i="5"/>
  <c r="G112" s="1"/>
  <c r="G114" s="1"/>
  <c r="D113"/>
  <c r="D82" i="9"/>
  <c r="D91" s="1"/>
  <c r="D93" s="1"/>
  <c r="D82" i="12"/>
  <c r="D91" s="1"/>
  <c r="D93" s="1"/>
  <c r="D115" i="10" l="1"/>
  <c r="D114" s="1"/>
  <c r="D118" s="1"/>
  <c r="D128" s="1"/>
  <c r="D129" s="1"/>
  <c r="D117"/>
  <c r="D106" i="9"/>
  <c r="D108" s="1"/>
  <c r="D125"/>
  <c r="D127" s="1"/>
  <c r="D112" i="4"/>
  <c r="D112" i="8"/>
  <c r="D113" s="1"/>
  <c r="G112" i="13"/>
  <c r="G114" s="1"/>
  <c r="D115" i="5"/>
  <c r="D116"/>
  <c r="D117"/>
  <c r="D106" i="12"/>
  <c r="D108" s="1"/>
  <c r="D125"/>
  <c r="D127" s="1"/>
  <c r="D112" i="11"/>
  <c r="D113" i="7"/>
  <c r="G112" s="1"/>
  <c r="G114" s="1"/>
  <c r="D113" i="6"/>
  <c r="G112" s="1"/>
  <c r="G114" s="1"/>
  <c r="D115" i="7" l="1"/>
  <c r="D114" s="1"/>
  <c r="D118" s="1"/>
  <c r="D128" s="1"/>
  <c r="D129" s="1"/>
  <c r="D116"/>
  <c r="D117"/>
  <c r="D115" i="6"/>
  <c r="D114" s="1"/>
  <c r="D118" s="1"/>
  <c r="D128" s="1"/>
  <c r="D129" s="1"/>
  <c r="D116"/>
  <c r="D117"/>
  <c r="D114" i="5"/>
  <c r="D118" s="1"/>
  <c r="D128" s="1"/>
  <c r="D129" s="1"/>
  <c r="D115" i="13"/>
  <c r="D116"/>
  <c r="D117"/>
  <c r="D113" i="11"/>
  <c r="D113" i="4"/>
  <c r="G112" s="1"/>
  <c r="G114" s="1"/>
  <c r="G112" i="9"/>
  <c r="G114" s="1"/>
  <c r="D113"/>
  <c r="D112"/>
  <c r="D112" i="12"/>
  <c r="D113"/>
  <c r="G112" i="8"/>
  <c r="G114" s="1"/>
  <c r="D115" i="4" l="1"/>
  <c r="D114" s="1"/>
  <c r="D118" s="1"/>
  <c r="D128" s="1"/>
  <c r="D129" s="1"/>
  <c r="D116"/>
  <c r="D117"/>
  <c r="D117" i="9"/>
  <c r="D115"/>
  <c r="D116"/>
  <c r="D116" i="8"/>
  <c r="D117"/>
  <c r="D115"/>
  <c r="G112" i="11"/>
  <c r="G114" s="1"/>
  <c r="D114" i="13"/>
  <c r="D118" s="1"/>
  <c r="D128" s="1"/>
  <c r="D129" s="1"/>
  <c r="G112" i="12"/>
  <c r="G114" s="1"/>
  <c r="D115" l="1"/>
  <c r="D116"/>
  <c r="D117"/>
  <c r="D114" i="8"/>
  <c r="D118" s="1"/>
  <c r="D128" s="1"/>
  <c r="D129" s="1"/>
  <c r="D115" i="11"/>
  <c r="D116"/>
  <c r="D117"/>
  <c r="D114" i="9"/>
  <c r="D118" s="1"/>
  <c r="D128" s="1"/>
  <c r="D129" s="1"/>
  <c r="D114" i="12" l="1"/>
  <c r="D118" s="1"/>
  <c r="D128" s="1"/>
  <c r="D129" s="1"/>
  <c r="D114" i="11"/>
  <c r="D118" s="1"/>
  <c r="D128" s="1"/>
  <c r="D129" s="1"/>
</calcChain>
</file>

<file path=xl/comments1.xml><?xml version="1.0" encoding="utf-8"?>
<comments xmlns="http://schemas.openxmlformats.org/spreadsheetml/2006/main">
  <authors>
    <author/>
  </authors>
  <commentList>
    <comment ref="G16" authorId="0">
      <text>
        <r>
          <rPr>
            <sz val="11"/>
            <color theme="1"/>
            <rFont val="Arial"/>
          </rPr>
          <t>======
ID#AAAALeZzrBg
Daniel Carlos    (2021-02-12 14:15:24)
Valores que constam no caderno técnico. A unidade deve realizar pesquisa de mercado para o levantamento do percentual médio destas rubricas.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jb8V3n9LDKMgXsfoFtNfu23fMJSQ=="/>
    </ext>
  </extLst>
</comments>
</file>

<file path=xl/comments10.xml><?xml version="1.0" encoding="utf-8"?>
<comments xmlns="http://schemas.openxmlformats.org/spreadsheetml/2006/main">
  <authors>
    <author/>
  </authors>
  <commentList>
    <comment ref="G16" authorId="0">
      <text>
        <r>
          <rPr>
            <sz val="11"/>
            <color theme="1"/>
            <rFont val="Arial"/>
          </rPr>
          <t>======
ID#AAAALeZzrBo
Daniel Carlos    (2021-02-12 14:15:24)
Valores que constam no caderno técnico. A unidade deve realizar pesquisa de mercado para o levantamento do percentual médio destas rubricas.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i+MH+DI6tqQdMQviaW2PR0GDv3mA=="/>
    </ext>
  </extLst>
</comments>
</file>

<file path=xl/comments11.xml><?xml version="1.0" encoding="utf-8"?>
<comments xmlns="http://schemas.openxmlformats.org/spreadsheetml/2006/main">
  <authors>
    <author/>
  </authors>
  <commentList>
    <comment ref="G16" authorId="0">
      <text>
        <r>
          <rPr>
            <sz val="11"/>
            <color theme="1"/>
            <rFont val="Arial"/>
          </rPr>
          <t>======
ID#AAAALeZzrB0
Daniel Carlos    (2021-02-12 14:15:24)
Valores que constam no caderno técnico. A unidade deve realizar pesquisa de mercado para o levantamento do percentual médio destas rubricas.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gtQD/Ows/FoWX9AHUn68c3xEOxXA=="/>
    </ext>
  </extLst>
</comments>
</file>

<file path=xl/comments2.xml><?xml version="1.0" encoding="utf-8"?>
<comments xmlns="http://schemas.openxmlformats.org/spreadsheetml/2006/main">
  <authors>
    <author/>
  </authors>
  <commentList>
    <comment ref="G16" authorId="0">
      <text>
        <r>
          <rPr>
            <sz val="11"/>
            <color theme="1"/>
            <rFont val="Arial"/>
          </rPr>
          <t>======
ID#AAAALeZzrCE
Daniel Carlos    (2021-02-12 14:15:24)
Valores que constam no caderno técnico. A unidade deve realizar pesquisa de mercado para o levantamento do percentual médio destas rubricas.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gO63PXxW7sNOLEQgi5rD399tSVUg=="/>
    </ext>
  </extLst>
</comments>
</file>

<file path=xl/comments3.xml><?xml version="1.0" encoding="utf-8"?>
<comments xmlns="http://schemas.openxmlformats.org/spreadsheetml/2006/main">
  <authors>
    <author/>
  </authors>
  <commentList>
    <comment ref="G16" authorId="0">
      <text>
        <r>
          <rPr>
            <sz val="11"/>
            <color theme="1"/>
            <rFont val="Arial"/>
          </rPr>
          <t>======
ID#AAAALeZzrBs
Daniel Carlos    (2021-02-12 14:15:24)
Valores que constam no caderno técnico. A unidade deve realizar pesquisa de mercado para o levantamento do percentual médio destas rubricas.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ghZgfx5vljwqcoImkuUW/GRRuWOQ=="/>
    </ext>
  </extLst>
</comments>
</file>

<file path=xl/comments4.xml><?xml version="1.0" encoding="utf-8"?>
<comments xmlns="http://schemas.openxmlformats.org/spreadsheetml/2006/main">
  <authors>
    <author/>
  </authors>
  <commentList>
    <comment ref="G16" authorId="0">
      <text>
        <r>
          <rPr>
            <sz val="11"/>
            <color theme="1"/>
            <rFont val="Arial"/>
          </rPr>
          <t>======
ID#AAAALeZzrB8
Daniel Carlos    (2021-02-12 14:15:24)
Valores que constam no caderno técnico. A unidade deve realizar pesquisa de mercado para o levantamento do percentual médio destas rubricas.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jYiGGBl+lVSQELbuuHMVwBTYowrA=="/>
    </ext>
  </extLst>
</comments>
</file>

<file path=xl/comments5.xml><?xml version="1.0" encoding="utf-8"?>
<comments xmlns="http://schemas.openxmlformats.org/spreadsheetml/2006/main">
  <authors>
    <author/>
  </authors>
  <commentList>
    <comment ref="G16" authorId="0">
      <text>
        <r>
          <rPr>
            <sz val="11"/>
            <color theme="1"/>
            <rFont val="Arial"/>
          </rPr>
          <t>======
ID#AAAALeZzrCI
Daniel Carlos    (2021-02-12 14:15:24)
Valores que constam no caderno técnico. A unidade deve realizar pesquisa de mercado para o levantamento do percentual médio destas rubricas.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iDz/kaRgzHApojdaGf69LSJn3aoQ=="/>
    </ext>
  </extLst>
</comments>
</file>

<file path=xl/comments6.xml><?xml version="1.0" encoding="utf-8"?>
<comments xmlns="http://schemas.openxmlformats.org/spreadsheetml/2006/main">
  <authors>
    <author/>
  </authors>
  <commentList>
    <comment ref="G16" authorId="0">
      <text>
        <r>
          <rPr>
            <sz val="11"/>
            <color theme="1"/>
            <rFont val="Arial"/>
          </rPr>
          <t>======
ID#AAAALeZzrBk
Daniel Carlos    (2021-02-12 14:15:24)
Valores que constam no caderno técnico. A unidade deve realizar pesquisa de mercado para o levantamento do percentual médio destas rubricas.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jYyid3dv5INqjz6/SmY2KGlr8kFA=="/>
    </ext>
  </extLst>
</comments>
</file>

<file path=xl/comments7.xml><?xml version="1.0" encoding="utf-8"?>
<comments xmlns="http://schemas.openxmlformats.org/spreadsheetml/2006/main">
  <authors>
    <author/>
  </authors>
  <commentList>
    <comment ref="G16" authorId="0">
      <text>
        <r>
          <rPr>
            <sz val="11"/>
            <color theme="1"/>
            <rFont val="Arial"/>
          </rPr>
          <t>======
ID#AAAALeZzrBw
Daniel Carlos    (2021-02-12 14:15:24)
Valores que constam no caderno técnico. A unidade deve realizar pesquisa de mercado para o levantamento do percentual médio destas rubricas.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jpbSbgAsiGzGhlQKBshupmR12WiQ=="/>
    </ext>
  </extLst>
</comments>
</file>

<file path=xl/comments8.xml><?xml version="1.0" encoding="utf-8"?>
<comments xmlns="http://schemas.openxmlformats.org/spreadsheetml/2006/main">
  <authors>
    <author/>
  </authors>
  <commentList>
    <comment ref="G16" authorId="0">
      <text>
        <r>
          <rPr>
            <sz val="11"/>
            <color theme="1"/>
            <rFont val="Arial"/>
          </rPr>
          <t>======
ID#AAAALeZzrCA
Daniel Carlos    (2021-02-12 14:15:24)
Valores que constam no caderno técnico. A unidade deve realizar pesquisa de mercado para o levantamento do percentual médio destas rubricas.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gCfvhXWvCUx5SV3xAxgGGy1i/SOA=="/>
    </ext>
  </extLst>
</comments>
</file>

<file path=xl/comments9.xml><?xml version="1.0" encoding="utf-8"?>
<comments xmlns="http://schemas.openxmlformats.org/spreadsheetml/2006/main">
  <authors>
    <author/>
  </authors>
  <commentList>
    <comment ref="G16" authorId="0">
      <text>
        <r>
          <rPr>
            <sz val="11"/>
            <color theme="1"/>
            <rFont val="Arial"/>
          </rPr>
          <t>======
ID#AAAALeZzrB4
Daniel Carlos    (2021-02-12 14:15:24)
Valores que constam no caderno técnico. A unidade deve realizar pesquisa de mercado para o levantamento do percentual médio destas rubricas.</t>
        </r>
      </text>
    </comment>
  </commentList>
  <extLst xmlns:r="http://schemas.openxmlformats.org/officeDocument/2006/relationships">
    <ext uri="GoogleSheetsCustomDataVersion1">
      <go:sheetsCustomData xmlns:go="http://customooxmlschemas.google.com/" r:id="rId1" roundtripDataSignature="AMtx7miJu1ZCOgUDiMB99410NMTuDdtgIQ=="/>
    </ext>
  </extLst>
</comments>
</file>

<file path=xl/sharedStrings.xml><?xml version="1.0" encoding="utf-8"?>
<sst xmlns="http://schemas.openxmlformats.org/spreadsheetml/2006/main" count="2792" uniqueCount="262">
  <si>
    <t>Dados para composição dos custos referentes a mão de obra</t>
  </si>
  <si>
    <t>Dados Gerais</t>
  </si>
  <si>
    <t>Item</t>
  </si>
  <si>
    <t>Descrição</t>
  </si>
  <si>
    <t>Comentário</t>
  </si>
  <si>
    <t>Valor</t>
  </si>
  <si>
    <t xml:space="preserve">Tipo de Serviço </t>
  </si>
  <si>
    <t>Limpeza</t>
  </si>
  <si>
    <t>Valor do Vale Transporte</t>
  </si>
  <si>
    <t>Classificação Brasileira de Ocupações (CBO)</t>
  </si>
  <si>
    <t xml:space="preserve">5143-20 </t>
  </si>
  <si>
    <t>Valor do Auxílio Alimentação</t>
  </si>
  <si>
    <t>Salário Normativo da Categoria Profissional</t>
  </si>
  <si>
    <t>CCT PB000199/2019 (Grupo 01)</t>
  </si>
  <si>
    <t>Dias de Trabalho no mês</t>
  </si>
  <si>
    <t>Categoria Profissional</t>
  </si>
  <si>
    <t xml:space="preserve"> CCT PB000199/2019</t>
  </si>
  <si>
    <t>RAT x SAT</t>
  </si>
  <si>
    <t>Data-Base da Categoria</t>
  </si>
  <si>
    <t>01 de Janeiro</t>
  </si>
  <si>
    <t>Dados sobre Desligamento</t>
  </si>
  <si>
    <t>Módulo 1 - Composição da Remuneração</t>
  </si>
  <si>
    <t>Tipos</t>
  </si>
  <si>
    <t>Percentual</t>
  </si>
  <si>
    <t>1</t>
  </si>
  <si>
    <t>Composição da Remuneração</t>
  </si>
  <si>
    <t>SEM justa causa - AP INDENIZADO</t>
  </si>
  <si>
    <t>A</t>
  </si>
  <si>
    <t>Salário-Base</t>
  </si>
  <si>
    <t>SEM justa causa - AP TRABALHADO</t>
  </si>
  <si>
    <t>B</t>
  </si>
  <si>
    <t>Adicional de Periculosidade</t>
  </si>
  <si>
    <t>Demissões COM justa causa</t>
  </si>
  <si>
    <t>C</t>
  </si>
  <si>
    <t>Adicional de Insalubridade</t>
  </si>
  <si>
    <t>D</t>
  </si>
  <si>
    <t>Adicional Noturno</t>
  </si>
  <si>
    <t>CITL</t>
  </si>
  <si>
    <t>E</t>
  </si>
  <si>
    <t>Adicional de Hora Noturna Reduzida</t>
  </si>
  <si>
    <t>F</t>
  </si>
  <si>
    <t>Outros (especificar)</t>
  </si>
  <si>
    <t>Custos indiretos</t>
  </si>
  <si>
    <t>Total</t>
  </si>
  <si>
    <t>Lucro</t>
  </si>
  <si>
    <t>PIS</t>
  </si>
  <si>
    <t>Módulo 2 - Encargos e Benefícios Anuais, Mensais e Diários</t>
  </si>
  <si>
    <t>COFINS</t>
  </si>
  <si>
    <t> Submódulo 2.1 - 13º (décimo terceiro) Salário e Adicional de Férias</t>
  </si>
  <si>
    <t>ISS</t>
  </si>
  <si>
    <t>2.1</t>
  </si>
  <si>
    <t>13º (décimo terceiro) Salário e Adicional de Férias</t>
  </si>
  <si>
    <t>13º (décimo terceiro) Salário</t>
  </si>
  <si>
    <t>Base de Cálculo para o Custo do Profissional Ausente</t>
  </si>
  <si>
    <t>Adicional de Férias</t>
  </si>
  <si>
    <t>BCPPA</t>
  </si>
  <si>
    <t>BCPPA (Afastamento Maternidade)</t>
  </si>
  <si>
    <t>Memória de Cálculo - Submódulo 2.1</t>
  </si>
  <si>
    <t>Rubrica</t>
  </si>
  <si>
    <t>Base de Cálculo</t>
  </si>
  <si>
    <t>Memória de Cálculo</t>
  </si>
  <si>
    <t>13 º (décimo terceiro) Salário</t>
  </si>
  <si>
    <t>Módulo 1 (Total)</t>
  </si>
  <si>
    <t>8,33%  x Base de Cálculo, Sendo 8,33% = 1 ÷ 12</t>
  </si>
  <si>
    <t>Base de Cálculo x (1 ÷ 3)</t>
  </si>
  <si>
    <t>Submódulo 2.2 - Encargos Previdenciários (GPS), Fundo de Garantia por Tempo de Serviço (FGTS) e outras contribuições.</t>
  </si>
  <si>
    <t>2.2</t>
  </si>
  <si>
    <t>GPS, FGTS e outras contribuições</t>
  </si>
  <si>
    <t xml:space="preserve">Valor </t>
  </si>
  <si>
    <t>INSS</t>
  </si>
  <si>
    <t>Salário Educação</t>
  </si>
  <si>
    <t>SAT</t>
  </si>
  <si>
    <t>SESC ou SESI</t>
  </si>
  <si>
    <t>SENAI - SENAC</t>
  </si>
  <si>
    <t>SEBRAE</t>
  </si>
  <si>
    <t>G</t>
  </si>
  <si>
    <t>INCRA</t>
  </si>
  <si>
    <t>H</t>
  </si>
  <si>
    <t>FGTS</t>
  </si>
  <si>
    <t>Memória de Cálculo - Submódulo 2.2</t>
  </si>
  <si>
    <t>A a H</t>
  </si>
  <si>
    <t>Módulo 1 (Total) + Submódulo 2.1</t>
  </si>
  <si>
    <t>Alíquota x Base de Cálculo</t>
  </si>
  <si>
    <t>Submódulo 2.3 - Benefícios Mensais e Diários.</t>
  </si>
  <si>
    <t>2.3</t>
  </si>
  <si>
    <t>Benefícios Mensais e Diários</t>
  </si>
  <si>
    <t>Transporte</t>
  </si>
  <si>
    <t>Auxílio-Refeição/Alimentação</t>
  </si>
  <si>
    <t>Seguro de Vida</t>
  </si>
  <si>
    <t>Auxílio-Morte/Funeral</t>
  </si>
  <si>
    <t>Cláusula Décima Sexta da CCT</t>
  </si>
  <si>
    <t>Benefício Odontológico</t>
  </si>
  <si>
    <t>Cláusula Décima Quarta da CCT</t>
  </si>
  <si>
    <t>Memória de Cálculo - Submódulo 2.3</t>
  </si>
  <si>
    <t>-</t>
  </si>
  <si>
    <t>(Valor do Vale x 2 Vales/dia x Dias de Trabalho) - 6% x Salário Base</t>
  </si>
  <si>
    <t>(Valor do Vale Alim. x Qtde. Dias de Trab)  x 80%</t>
  </si>
  <si>
    <t>Quadro-Resumo do Módulo 2 - Encargos e Benefícios anuais, mensais e diários</t>
  </si>
  <si>
    <t>2</t>
  </si>
  <si>
    <t>Encargos e Benefícios Anuais, Mensais e Diários</t>
  </si>
  <si>
    <t>Módulo 3 - Provisão para Rescisão</t>
  </si>
  <si>
    <t>3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</si>
  <si>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</si>
  <si>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</si>
  <si>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</si>
  <si>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</si>
  <si>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</si>
  <si>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Multa do FGTS e contribuição social sobre o Aviso Prévio Trabalhado</t>
  </si>
  <si>
    <t>(-)Demissão por justa causa</t>
  </si>
  <si>
    <t>Memória de Cálculo - Módulo 3</t>
  </si>
  <si>
    <t>Módulo 1 (Total) + Submódulo 2.1 + Submódulo 2.3</t>
  </si>
  <si>
    <t>(Base de Cálculo / 12) x Percentual de AP Indenizado (Tabela "Dados sobre desligamento")</t>
  </si>
  <si>
    <t>Item H do submódulo 2.2 (FGTS)</t>
  </si>
  <si>
    <t>Base de Cálculo x 50 % (40% de multa + 10% contribuição social) x Percentual de AP Indenizado (Tabela "Dados sobre desligamento")</t>
  </si>
  <si>
    <t>Módulo 1 (Total) + Módulo 2 (Total)</t>
  </si>
  <si>
    <t>(Base de Cálculo / 12) x Percentual de AP Trabalhado (Tabela "Dados sobre desligamento")</t>
  </si>
  <si>
    <t>Base de Cálculo x 50 % (40% de multa + 10% contribuição social) x Percentual de AP Trabalhado (Tabela "Dados sobre desligamento")</t>
  </si>
  <si>
    <t>Submódulo 2.1</t>
  </si>
  <si>
    <t>Base de Cálculo x Percentual de Demissões COM justa Causa (Tabela "Dados sobre desligamento")</t>
  </si>
  <si>
    <t xml:space="preserve">Módulo 4 - Custo de Reposição do Profissional Ausente
</t>
  </si>
  <si>
    <t>Submódulo 4.1 - Substituto nas Ausências Legais</t>
  </si>
  <si>
    <t>4.1</t>
  </si>
  <si>
    <t>Substituto nas Ausências Legais</t>
  </si>
  <si>
    <t>Dias de ausência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</si>
  <si>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</si>
  <si>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</si>
  <si>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</si>
  <si>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</si>
  <si>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</si>
  <si>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Ausência por Doença</t>
  </si>
  <si>
    <t>Memória de Cálculo - Módulo 4</t>
  </si>
  <si>
    <t>A a F</t>
  </si>
  <si>
    <t>Dias de Ausência conforme caderno técnico de limpeza/PB 2018, p. 20.</t>
  </si>
  <si>
    <t>A, B, C, D e F</t>
  </si>
  <si>
    <t>Valor das rubricas</t>
  </si>
  <si>
    <t xml:space="preserve">Custo diário para o repositor = (Módulo 1 + SubMódulo 2.1 + (Módulo1 / 12) * (100% + Submódulo 2.2 (%)) / 30 </t>
  </si>
  <si>
    <t>(Base de cálculo x Dias de Ausência) / 12</t>
  </si>
  <si>
    <t>Valor das Rubricas</t>
  </si>
  <si>
    <t>Custo diário para o repositor (afastamento maternidade) = ([Módulo 1 x (1 +1/3) x (100% + % sbmódulo 2.2) ]/12 )/ 30</t>
  </si>
  <si>
    <t>Submódulo 4.2 - Substituto na Intrajornada</t>
  </si>
  <si>
    <t>4.2</t>
  </si>
  <si>
    <t>Substituto na Intrajornada </t>
  </si>
  <si>
    <t>Substituto na cobertura de Intervalo para repouso ou alimentação</t>
  </si>
  <si>
    <t>Quadro-Resumo do Módulo 4 - Custo de Reposição do Profissional Ausente</t>
  </si>
  <si>
    <t>4</t>
  </si>
  <si>
    <t>Custo de Reposição do Profissional Ausente</t>
  </si>
  <si>
    <t>Substituto na Intrajornada</t>
  </si>
  <si>
    <t>Módulo 5 - Insumos Diversos</t>
  </si>
  <si>
    <t>5</t>
  </si>
  <si>
    <t>Insumos Diversos</t>
  </si>
  <si>
    <t>Uniformes</t>
  </si>
  <si>
    <t>Materiais</t>
  </si>
  <si>
    <t>Equipamentos</t>
  </si>
  <si>
    <t>EPI</t>
  </si>
  <si>
    <t>Memória de Cálculo - Módulo 5</t>
  </si>
  <si>
    <t>Tabela Uniformes Serventes</t>
  </si>
  <si>
    <t>Total da Tabela Materiais</t>
  </si>
  <si>
    <t>Base de Cálculo / Qtde. de Serventes</t>
  </si>
  <si>
    <t>Custo total dos equipamentos (Manutenção + Depreciação)</t>
  </si>
  <si>
    <t>Módulo 6 - Custos Indiretos, Tributos e Lucro</t>
  </si>
  <si>
    <t>6</t>
  </si>
  <si>
    <t>Custos Indiretos, Tributos e Lucro</t>
  </si>
  <si>
    <t>Custos Indiretos</t>
  </si>
  <si>
    <t>Tributos</t>
  </si>
  <si>
    <t>C.1</t>
  </si>
  <si>
    <t>C.2</t>
  </si>
  <si>
    <t>C.3</t>
  </si>
  <si>
    <t>QUADRO-RESUMO DO CUSTO POR EMPREGADO</t>
  </si>
  <si>
    <t>Mão de obra vinculada à execução contratual</t>
  </si>
  <si>
    <t>Módulo 4 - Custo de Reposição do Profissional Ausente</t>
  </si>
  <si>
    <t>Subtotal (A + B +C+ D+E)</t>
  </si>
  <si>
    <t>Valor Total por Empregado</t>
  </si>
  <si>
    <t>Encarregado</t>
  </si>
  <si>
    <t>Grupo I</t>
  </si>
  <si>
    <t>Quadro Resumo</t>
  </si>
  <si>
    <t>Quantidade</t>
  </si>
  <si>
    <t>CBO</t>
  </si>
  <si>
    <t>Salário Base (CCT 41/2020)*</t>
  </si>
  <si>
    <t>Valor Mensal do Posto</t>
  </si>
  <si>
    <t>Valor Global do Posto</t>
  </si>
  <si>
    <t>Valor Total</t>
  </si>
  <si>
    <t>Monitor de Sistemas Eletrônicos (6% graticação)</t>
  </si>
  <si>
    <t>9513-15</t>
  </si>
  <si>
    <t>Almoxarife</t>
  </si>
  <si>
    <t>4141-05</t>
  </si>
  <si>
    <t>Recepcionista</t>
  </si>
  <si>
    <t>Operador de Fotocopiadora</t>
  </si>
  <si>
    <t>4151-30</t>
  </si>
  <si>
    <t>Copeiro</t>
  </si>
  <si>
    <t>5134-25</t>
  </si>
  <si>
    <t>Montador de Equipamentos Eletrônicos</t>
  </si>
  <si>
    <t>7311-10</t>
  </si>
  <si>
    <t>Jardineiro</t>
  </si>
  <si>
    <t>6220-10</t>
  </si>
  <si>
    <t>Trabalhadores nos Serviços de Manutenção de Edificações</t>
  </si>
  <si>
    <t>Eletricista</t>
  </si>
  <si>
    <t>7156-10</t>
  </si>
  <si>
    <t>THB*** (40% insalubridade)**</t>
  </si>
  <si>
    <t>3224-05</t>
  </si>
  <si>
    <t>TOTAL</t>
  </si>
  <si>
    <t>*  Valores atualizados com base no salário mínimo vigente.</t>
  </si>
  <si>
    <t>** Remuneração definida com base no DC 0000069-54.2017.5.13.0000.</t>
  </si>
  <si>
    <t>*** Técnico em Higiene Bucal</t>
  </si>
  <si>
    <t>Grupo II</t>
  </si>
  <si>
    <t>R$ 1.100,00</t>
  </si>
  <si>
    <t>* Valores atualizados com base no salário mínimo vigente.</t>
  </si>
  <si>
    <t>Apoio Administrativo</t>
  </si>
  <si>
    <t xml:space="preserve"> CCT PB00041/2020 (GRUPO II)</t>
  </si>
  <si>
    <t xml:space="preserve"> CCT PB00041/2020</t>
  </si>
  <si>
    <t>Quantidade de Profissionais</t>
  </si>
  <si>
    <t>Outros (Gratificação Adicional)</t>
  </si>
  <si>
    <t>BASE DE CÁLCULO PARA O SUBMÓDULO 2.2</t>
  </si>
  <si>
    <t>MÓDULO 1</t>
  </si>
  <si>
    <t>MÓDULO 2.1</t>
  </si>
  <si>
    <t>Incidência de GPS, FGTS e outras contribuições sobre o Aviso Prévio Trabalhado</t>
  </si>
  <si>
    <t>BASE DE CÁLCULO PARA O MÓDULO 4</t>
  </si>
  <si>
    <t>MÓDULO 2</t>
  </si>
  <si>
    <t>MÓDULO 3</t>
  </si>
  <si>
    <t>Substituto na cobertura de Outras ausências (especificar)</t>
  </si>
  <si>
    <t>Uniformes e EPI</t>
  </si>
  <si>
    <t>EPC</t>
  </si>
  <si>
    <t>BASE DE CÁLCULO PARA O MÓDULO 6</t>
  </si>
  <si>
    <t>MÓDULO 4</t>
  </si>
  <si>
    <t>MÓDULO 5</t>
  </si>
  <si>
    <t>CÁLCULO POR DENTRO</t>
  </si>
  <si>
    <t>TOTAL DOS TRIBUTOS</t>
  </si>
  <si>
    <t>BASE DE CÁLCULO</t>
  </si>
  <si>
    <t>ÍNDICE</t>
  </si>
  <si>
    <t xml:space="preserve"> CCT PB00041/2020 (GRUPO IV)</t>
  </si>
  <si>
    <t xml:space="preserve"> CCT PB00041/2020 (GRUPO I)</t>
  </si>
  <si>
    <t>Trabalhador nos serviços de manutenção de edificações</t>
  </si>
  <si>
    <t xml:space="preserve"> CCT PB00041/2020 (GRUPO VII)</t>
  </si>
  <si>
    <t xml:space="preserve"> CCT PB00041/2020 (GRUPO VIII)</t>
  </si>
  <si>
    <t>THB</t>
  </si>
  <si>
    <t>DC 000069-54.2017.5.13.0000</t>
  </si>
  <si>
    <t>UNIFORMES - Mon. Sis. Eletr.; Almoxarife; Op. De Fotocopiadora; Mont. De Sistemas Elet.; Recepcionista</t>
  </si>
  <si>
    <t>ITEM</t>
  </si>
  <si>
    <t>DESCRIÇÃO</t>
  </si>
  <si>
    <t>UNIDADE</t>
  </si>
  <si>
    <t xml:space="preserve">  VALOR UNITÁRIO ESTIMADO (R$) </t>
  </si>
  <si>
    <t>QUANTIDADE</t>
  </si>
  <si>
    <t>VALOR TOTAL  (R$)</t>
  </si>
  <si>
    <t xml:space="preserve">Camisa social masculina com botões, manga curta, com emblema da empresa, 100% algodão, nas cores da empresa. </t>
  </si>
  <si>
    <t>UND</t>
  </si>
  <si>
    <t>Calça social, confeccionada com tecido Oxford, na cor preta.</t>
  </si>
  <si>
    <t>Custo Mensal por Posto</t>
  </si>
  <si>
    <t>UNIFORMES - Copeiro</t>
  </si>
  <si>
    <t>Jaleco com emblema e cor da empresa</t>
  </si>
  <si>
    <t>UNIFORMES - Jardineiro</t>
  </si>
  <si>
    <t>Camisa Profissional, manga curta, com emblema da empresa, gola V, sem botões, confeccionada em Brim (100% algodão), nas cores da empresa.</t>
  </si>
  <si>
    <t>Calça com cós de elástico, dois bolsos frontais e dois bolsos na traseira, confeccionado em brim 100% algodão, sem partes metálicas, na cores da empresa.</t>
  </si>
  <si>
    <t>Bota Profissional, ½ cano com elástico, confeccionada em couro e palmilha higiênica com tratamento antibactericida, fabricado em Poliuretano e a biqueira de plástico pré-moldada.</t>
  </si>
  <si>
    <t>Boné confeccionado em tecido de brim, com abas laterais, nas cores da empresa.</t>
  </si>
  <si>
    <t>UNIFORMES - Manutenção Predial</t>
  </si>
  <si>
    <t>UNIFORMES - Eletricista (Periculosidade)</t>
  </si>
  <si>
    <t>Botas de segurança para serviços elétricos com CA.</t>
  </si>
  <si>
    <t>PAR</t>
  </si>
  <si>
    <t>UNIFORMES - THB</t>
  </si>
  <si>
    <t xml:space="preserve">Camisa social, na cor branca, masculina/feminina com botões, manga curta, com emblema da empresa, 100% algodão, nas cores da empresa. </t>
  </si>
  <si>
    <t>Calça social, na cor branca, confeccionada com tecido Oxford.</t>
  </si>
  <si>
    <t xml:space="preserve">Sapato modelo slip on em couro na cor branca. </t>
  </si>
  <si>
    <t>Jaleco, mangas longas, na cor branca, com emblema da empresa</t>
  </si>
</sst>
</file>

<file path=xl/styles.xml><?xml version="1.0" encoding="utf-8"?>
<styleSheet xmlns="http://schemas.openxmlformats.org/spreadsheetml/2006/main">
  <numFmts count="10">
    <numFmt numFmtId="7" formatCode="&quot;R$&quot;\ #,##0.00;\-&quot;R$&quot;\ #,##0.00"/>
    <numFmt numFmtId="164" formatCode="_-&quot;R$&quot;\ * #,##0.00_-;\-&quot;R$&quot;\ * #,##0.00_-;_-&quot;R$&quot;\ * &quot;-&quot;??_-;_-@"/>
    <numFmt numFmtId="165" formatCode="&quot;R$&quot;\ #,##0.00"/>
    <numFmt numFmtId="166" formatCode="&quot;R$&quot;#,##0.00"/>
    <numFmt numFmtId="167" formatCode="&quot;R$&quot;\ #,##0.00_);[Red]\(&quot;R$&quot;\ #,##0.00\)"/>
    <numFmt numFmtId="168" formatCode="0_);[Red]\(0\)"/>
    <numFmt numFmtId="169" formatCode="&quot;R$&quot;#,##0.00_);[Red]&quot;(R$&quot;#,##0.00\)"/>
    <numFmt numFmtId="170" formatCode="&quot;R$&quot;\ #,###.00"/>
    <numFmt numFmtId="171" formatCode="&quot;R$&quot;\ #,###.##000"/>
    <numFmt numFmtId="172" formatCode="0.0000_ "/>
  </numFmts>
  <fonts count="12">
    <font>
      <sz val="11"/>
      <color theme="1"/>
      <name val="Arial"/>
    </font>
    <font>
      <b/>
      <sz val="11"/>
      <color theme="1"/>
      <name val="Calibri"/>
    </font>
    <font>
      <sz val="11"/>
      <name val="Arial"/>
    </font>
    <font>
      <sz val="11"/>
      <color theme="1"/>
      <name val="Calibri"/>
    </font>
    <font>
      <sz val="11"/>
      <color theme="1"/>
      <name val="Calibri"/>
    </font>
    <font>
      <b/>
      <sz val="11"/>
      <color theme="0"/>
      <name val="Calibri"/>
    </font>
    <font>
      <sz val="11"/>
      <color theme="0"/>
      <name val="Calibri"/>
    </font>
    <font>
      <sz val="11"/>
      <color rgb="FF000000"/>
      <name val="Calibri"/>
    </font>
    <font>
      <b/>
      <sz val="11"/>
      <color rgb="FFFFFFFF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i/>
      <sz val="11"/>
      <color theme="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theme="9"/>
        <bgColor theme="9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70AD47"/>
        <bgColor rgb="FF70AD47"/>
      </patternFill>
    </fill>
    <fill>
      <patternFill patternType="solid">
        <fgColor rgb="FFC5E0B2"/>
        <bgColor rgb="FFC5E0B2"/>
      </patternFill>
    </fill>
    <fill>
      <patternFill patternType="solid">
        <fgColor rgb="FFC5E0B4"/>
        <bgColor rgb="FFC5E0B4"/>
      </patternFill>
    </fill>
    <fill>
      <patternFill patternType="solid">
        <fgColor rgb="FFF4B183"/>
        <bgColor rgb="FFF4B183"/>
      </patternFill>
    </fill>
    <fill>
      <patternFill patternType="solid">
        <fgColor rgb="FFE2F0D9"/>
        <bgColor rgb="FFE2F0D9"/>
      </patternFill>
    </fill>
    <fill>
      <patternFill patternType="solid">
        <fgColor rgb="FFFFFF00"/>
        <bgColor rgb="FFFFFF00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ck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56"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4" fontId="3" fillId="2" borderId="4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9" fontId="3" fillId="2" borderId="4" xfId="0" applyNumberFormat="1" applyFont="1" applyFill="1" applyBorder="1" applyAlignment="1">
      <alignment horizontal="center"/>
    </xf>
    <xf numFmtId="10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3" fillId="0" borderId="0" xfId="0" applyFont="1"/>
    <xf numFmtId="10" fontId="3" fillId="2" borderId="4" xfId="0" applyNumberFormat="1" applyFont="1" applyFill="1" applyBorder="1"/>
    <xf numFmtId="165" fontId="3" fillId="0" borderId="0" xfId="0" applyNumberFormat="1" applyFont="1"/>
    <xf numFmtId="166" fontId="3" fillId="0" borderId="0" xfId="0" applyNumberFormat="1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10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3" borderId="4" xfId="0" applyFont="1" applyFill="1" applyBorder="1"/>
    <xf numFmtId="165" fontId="6" fillId="3" borderId="4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5" borderId="15" xfId="0" applyFont="1" applyFill="1" applyBorder="1"/>
    <xf numFmtId="0" fontId="3" fillId="5" borderId="15" xfId="0" applyFont="1" applyFill="1" applyBorder="1" applyAlignment="1">
      <alignment horizontal="center"/>
    </xf>
    <xf numFmtId="7" fontId="3" fillId="5" borderId="15" xfId="0" applyNumberFormat="1" applyFont="1" applyFill="1" applyBorder="1" applyAlignment="1">
      <alignment horizontal="center"/>
    </xf>
    <xf numFmtId="165" fontId="3" fillId="5" borderId="15" xfId="0" applyNumberFormat="1" applyFont="1" applyFill="1" applyBorder="1" applyAlignment="1">
      <alignment horizontal="center"/>
    </xf>
    <xf numFmtId="165" fontId="3" fillId="5" borderId="15" xfId="0" applyNumberFormat="1" applyFont="1" applyFill="1" applyBorder="1" applyAlignment="1">
      <alignment horizontal="center"/>
    </xf>
    <xf numFmtId="165" fontId="3" fillId="3" borderId="15" xfId="0" applyNumberFormat="1" applyFont="1" applyFill="1" applyBorder="1"/>
    <xf numFmtId="0" fontId="4" fillId="0" borderId="0" xfId="0" applyFont="1"/>
    <xf numFmtId="0" fontId="7" fillId="7" borderId="16" xfId="0" applyFont="1" applyFill="1" applyBorder="1" applyAlignment="1">
      <alignment horizontal="center"/>
    </xf>
    <xf numFmtId="0" fontId="7" fillId="7" borderId="17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right"/>
    </xf>
    <xf numFmtId="0" fontId="7" fillId="5" borderId="17" xfId="0" applyFont="1" applyFill="1" applyBorder="1" applyAlignment="1"/>
    <xf numFmtId="0" fontId="7" fillId="5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right"/>
    </xf>
    <xf numFmtId="0" fontId="7" fillId="0" borderId="0" xfId="0" applyFont="1" applyAlignment="1"/>
    <xf numFmtId="0" fontId="7" fillId="0" borderId="0" xfId="0" applyFont="1" applyAlignment="1"/>
    <xf numFmtId="164" fontId="3" fillId="2" borderId="4" xfId="0" applyNumberFormat="1" applyFont="1" applyFill="1" applyBorder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9" fontId="3" fillId="2" borderId="4" xfId="0" applyNumberFormat="1" applyFont="1" applyFill="1" applyBorder="1" applyAlignment="1">
      <alignment horizontal="center" vertical="center"/>
    </xf>
    <xf numFmtId="168" fontId="3" fillId="2" borderId="4" xfId="0" applyNumberFormat="1" applyFont="1" applyFill="1" applyBorder="1" applyAlignment="1">
      <alignment horizontal="center" vertical="center"/>
    </xf>
    <xf numFmtId="10" fontId="3" fillId="0" borderId="0" xfId="0" applyNumberFormat="1" applyFont="1"/>
    <xf numFmtId="10" fontId="3" fillId="0" borderId="0" xfId="0" applyNumberFormat="1" applyFont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169" fontId="7" fillId="9" borderId="21" xfId="0" applyNumberFormat="1" applyFont="1" applyFill="1" applyBorder="1" applyAlignment="1">
      <alignment horizontal="center" vertical="center"/>
    </xf>
    <xf numFmtId="0" fontId="9" fillId="10" borderId="21" xfId="0" applyFont="1" applyFill="1" applyBorder="1" applyAlignment="1">
      <alignment horizontal="center" vertical="center"/>
    </xf>
    <xf numFmtId="169" fontId="9" fillId="9" borderId="21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0" fontId="3" fillId="11" borderId="4" xfId="0" applyFont="1" applyFill="1" applyBorder="1"/>
    <xf numFmtId="0" fontId="3" fillId="0" borderId="0" xfId="0" applyFont="1" applyAlignment="1">
      <alignment wrapText="1"/>
    </xf>
    <xf numFmtId="10" fontId="3" fillId="2" borderId="4" xfId="0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 vertical="center"/>
    </xf>
    <xf numFmtId="171" fontId="3" fillId="0" borderId="0" xfId="0" applyNumberFormat="1" applyFont="1" applyAlignment="1">
      <alignment horizontal="center"/>
    </xf>
    <xf numFmtId="167" fontId="3" fillId="2" borderId="4" xfId="0" applyNumberFormat="1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left" vertical="center"/>
    </xf>
    <xf numFmtId="10" fontId="7" fillId="9" borderId="4" xfId="0" applyNumberFormat="1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left" vertical="center"/>
    </xf>
    <xf numFmtId="169" fontId="7" fillId="9" borderId="4" xfId="0" applyNumberFormat="1" applyFont="1" applyFill="1" applyBorder="1" applyAlignment="1">
      <alignment horizontal="center" vertical="center"/>
    </xf>
    <xf numFmtId="172" fontId="7" fillId="9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165" fontId="5" fillId="3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9" fontId="3" fillId="0" borderId="0" xfId="0" applyNumberFormat="1" applyFont="1" applyAlignment="1">
      <alignment horizontal="center"/>
    </xf>
    <xf numFmtId="167" fontId="3" fillId="2" borderId="4" xfId="0" applyNumberFormat="1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left" vertical="center"/>
    </xf>
    <xf numFmtId="0" fontId="3" fillId="4" borderId="30" xfId="0" applyFont="1" applyFill="1" applyBorder="1" applyAlignment="1">
      <alignment horizontal="center" vertical="center" wrapText="1"/>
    </xf>
    <xf numFmtId="165" fontId="3" fillId="2" borderId="30" xfId="0" applyNumberFormat="1" applyFont="1" applyFill="1" applyBorder="1" applyAlignment="1">
      <alignment horizontal="center" vertical="center"/>
    </xf>
    <xf numFmtId="165" fontId="3" fillId="4" borderId="31" xfId="0" applyNumberFormat="1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left" vertical="center"/>
    </xf>
    <xf numFmtId="0" fontId="3" fillId="5" borderId="30" xfId="0" applyFont="1" applyFill="1" applyBorder="1" applyAlignment="1">
      <alignment horizontal="center" vertical="center" wrapText="1"/>
    </xf>
    <xf numFmtId="165" fontId="3" fillId="5" borderId="31" xfId="0" applyNumberFormat="1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7" fontId="5" fillId="3" borderId="30" xfId="0" applyNumberFormat="1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/>
    </xf>
    <xf numFmtId="0" fontId="11" fillId="3" borderId="34" xfId="0" applyFont="1" applyFill="1" applyBorder="1" applyAlignment="1">
      <alignment horizontal="center" vertical="center"/>
    </xf>
    <xf numFmtId="0" fontId="6" fillId="3" borderId="34" xfId="0" applyFont="1" applyFill="1" applyBorder="1"/>
    <xf numFmtId="167" fontId="11" fillId="3" borderId="35" xfId="0" applyNumberFormat="1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 wrapText="1"/>
    </xf>
    <xf numFmtId="165" fontId="3" fillId="2" borderId="36" xfId="0" applyNumberFormat="1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left" vertical="center" wrapText="1"/>
    </xf>
    <xf numFmtId="165" fontId="3" fillId="2" borderId="38" xfId="0" applyNumberFormat="1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left" vertical="center" wrapText="1"/>
    </xf>
    <xf numFmtId="0" fontId="3" fillId="5" borderId="38" xfId="0" applyFont="1" applyFill="1" applyBorder="1" applyAlignment="1">
      <alignment horizontal="center" vertical="center" wrapText="1"/>
    </xf>
    <xf numFmtId="165" fontId="3" fillId="5" borderId="39" xfId="0" applyNumberFormat="1" applyFont="1" applyFill="1" applyBorder="1" applyAlignment="1">
      <alignment horizontal="center" vertical="center"/>
    </xf>
    <xf numFmtId="0" fontId="10" fillId="0" borderId="4" xfId="0" applyFont="1" applyBorder="1"/>
    <xf numFmtId="165" fontId="3" fillId="2" borderId="30" xfId="0" applyNumberFormat="1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left" vertical="center"/>
    </xf>
    <xf numFmtId="165" fontId="3" fillId="2" borderId="38" xfId="0" applyNumberFormat="1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left" vertical="center" wrapText="1"/>
    </xf>
    <xf numFmtId="0" fontId="3" fillId="5" borderId="37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5" fillId="3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5" fillId="3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1" fillId="0" borderId="0" xfId="0" applyFont="1" applyAlignment="1">
      <alignment horizontal="center" vertical="center"/>
    </xf>
    <xf numFmtId="0" fontId="5" fillId="3" borderId="8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2" fillId="0" borderId="11" xfId="0" applyFont="1" applyBorder="1"/>
    <xf numFmtId="0" fontId="3" fillId="3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7" fillId="6" borderId="12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8" fillId="6" borderId="26" xfId="0" applyFont="1" applyFill="1" applyBorder="1" applyAlignment="1">
      <alignment horizontal="center" vertical="center"/>
    </xf>
    <xf numFmtId="0" fontId="2" fillId="0" borderId="27" xfId="0" applyFont="1" applyBorder="1"/>
    <xf numFmtId="0" fontId="1" fillId="5" borderId="8" xfId="0" applyFont="1" applyFill="1" applyBorder="1" applyAlignment="1">
      <alignment horizontal="center"/>
    </xf>
    <xf numFmtId="0" fontId="0" fillId="0" borderId="0" xfId="0" applyFont="1" applyFill="1" applyAlignment="1"/>
    <xf numFmtId="165" fontId="3" fillId="0" borderId="0" xfId="0" applyNumberFormat="1" applyFont="1" applyFill="1"/>
    <xf numFmtId="0" fontId="3" fillId="0" borderId="4" xfId="0" applyFont="1" applyFill="1" applyBorder="1"/>
    <xf numFmtId="165" fontId="10" fillId="0" borderId="4" xfId="0" applyNumberFormat="1" applyFont="1" applyFill="1" applyBorder="1"/>
    <xf numFmtId="0" fontId="3" fillId="0" borderId="0" xfId="0" applyFont="1" applyFill="1" applyAlignment="1">
      <alignment horizontal="center"/>
    </xf>
    <xf numFmtId="0" fontId="2" fillId="0" borderId="25" xfId="0" applyFont="1" applyFill="1" applyBorder="1"/>
    <xf numFmtId="167" fontId="3" fillId="0" borderId="25" xfId="0" applyNumberFormat="1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9" fontId="7" fillId="0" borderId="25" xfId="0" applyNumberFormat="1" applyFont="1" applyFill="1" applyBorder="1" applyAlignment="1">
      <alignment horizontal="center" vertical="center"/>
    </xf>
    <xf numFmtId="169" fontId="9" fillId="0" borderId="25" xfId="0" applyNumberFormat="1" applyFont="1" applyFill="1" applyBorder="1" applyAlignment="1">
      <alignment horizontal="center" vertical="center"/>
    </xf>
    <xf numFmtId="165" fontId="3" fillId="0" borderId="25" xfId="0" applyNumberFormat="1" applyFont="1" applyFill="1" applyBorder="1" applyAlignment="1">
      <alignment horizontal="center"/>
    </xf>
    <xf numFmtId="165" fontId="3" fillId="0" borderId="25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70" fontId="3" fillId="0" borderId="0" xfId="0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center" vertical="center"/>
    </xf>
    <xf numFmtId="171" fontId="3" fillId="0" borderId="0" xfId="0" applyNumberFormat="1" applyFont="1" applyFill="1" applyAlignment="1">
      <alignment horizontal="center"/>
    </xf>
    <xf numFmtId="167" fontId="3" fillId="0" borderId="25" xfId="0" applyNumberFormat="1" applyFont="1" applyFill="1" applyBorder="1" applyAlignment="1">
      <alignment horizontal="center" vertical="center"/>
    </xf>
    <xf numFmtId="165" fontId="5" fillId="0" borderId="25" xfId="0" applyNumberFormat="1" applyFont="1" applyFill="1" applyBorder="1" applyAlignment="1">
      <alignment horizontal="center"/>
    </xf>
  </cellXfs>
  <cellStyles count="1">
    <cellStyle name="Normal" xfId="0" builtinId="0"/>
  </cellStyles>
  <dxfs count="702"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</dxfs>
  <tableStyles count="186">
    <tableStyle name="Servente-style" pivot="0" count="3">
      <tableStyleElement type="headerRow" dxfId="701"/>
      <tableStyleElement type="firstRowStripe" dxfId="700"/>
      <tableStyleElement type="secondRowStripe" dxfId="699"/>
    </tableStyle>
    <tableStyle name="Servente-style 2" pivot="0" count="4">
      <tableStyleElement type="headerRow" dxfId="698"/>
      <tableStyleElement type="totalRow" dxfId="695"/>
      <tableStyleElement type="firstRowStripe" dxfId="697"/>
      <tableStyleElement type="secondRowStripe" dxfId="696"/>
    </tableStyle>
    <tableStyle name="Servente-style 3" pivot="0" count="4">
      <tableStyleElement type="headerRow" dxfId="694"/>
      <tableStyleElement type="totalRow" dxfId="691"/>
      <tableStyleElement type="firstRowStripe" dxfId="693"/>
      <tableStyleElement type="secondRowStripe" dxfId="692"/>
    </tableStyle>
    <tableStyle name="Servente-style 4" pivot="0" count="3">
      <tableStyleElement type="headerRow" dxfId="690"/>
      <tableStyleElement type="firstRowStripe" dxfId="689"/>
      <tableStyleElement type="secondRowStripe" dxfId="688"/>
    </tableStyle>
    <tableStyle name="Servente-style 5" pivot="0" count="3">
      <tableStyleElement type="headerRow" dxfId="687"/>
      <tableStyleElement type="firstRowStripe" dxfId="686"/>
      <tableStyleElement type="secondRowStripe" dxfId="685"/>
    </tableStyle>
    <tableStyle name="Servente-style 6" pivot="0" count="4">
      <tableStyleElement type="headerRow" dxfId="684"/>
      <tableStyleElement type="totalRow" dxfId="681"/>
      <tableStyleElement type="firstRowStripe" dxfId="683"/>
      <tableStyleElement type="secondRowStripe" dxfId="682"/>
    </tableStyle>
    <tableStyle name="Servente-style 7" pivot="0" count="3">
      <tableStyleElement type="headerRow" dxfId="680"/>
      <tableStyleElement type="firstRowStripe" dxfId="679"/>
      <tableStyleElement type="secondRowStripe" dxfId="678"/>
    </tableStyle>
    <tableStyle name="Servente-style 8" pivot="0" count="3">
      <tableStyleElement type="headerRow" dxfId="677"/>
      <tableStyleElement type="firstRowStripe" dxfId="676"/>
      <tableStyleElement type="secondRowStripe" dxfId="675"/>
    </tableStyle>
    <tableStyle name="Servente-style 9" pivot="0" count="3">
      <tableStyleElement type="headerRow" dxfId="674"/>
      <tableStyleElement type="firstRowStripe" dxfId="673"/>
      <tableStyleElement type="secondRowStripe" dxfId="672"/>
    </tableStyle>
    <tableStyle name="Servente-style 10" pivot="0" count="4">
      <tableStyleElement type="headerRow" dxfId="671"/>
      <tableStyleElement type="totalRow" dxfId="668"/>
      <tableStyleElement type="firstRowStripe" dxfId="670"/>
      <tableStyleElement type="secondRowStripe" dxfId="669"/>
    </tableStyle>
    <tableStyle name="Servente-style 11" pivot="0" count="4">
      <tableStyleElement type="headerRow" dxfId="667"/>
      <tableStyleElement type="totalRow" dxfId="664"/>
      <tableStyleElement type="firstRowStripe" dxfId="666"/>
      <tableStyleElement type="secondRowStripe" dxfId="665"/>
    </tableStyle>
    <tableStyle name="Servente-style 12" pivot="0" count="3">
      <tableStyleElement type="headerRow" dxfId="663"/>
      <tableStyleElement type="firstRowStripe" dxfId="662"/>
      <tableStyleElement type="secondRowStripe" dxfId="661"/>
    </tableStyle>
    <tableStyle name="Servente-style 13" pivot="0" count="4">
      <tableStyleElement type="headerRow" dxfId="660"/>
      <tableStyleElement type="totalRow" dxfId="657"/>
      <tableStyleElement type="firstRowStripe" dxfId="659"/>
      <tableStyleElement type="secondRowStripe" dxfId="658"/>
    </tableStyle>
    <tableStyle name="Servente-style 14" pivot="0" count="4">
      <tableStyleElement type="headerRow" dxfId="656"/>
      <tableStyleElement type="totalRow" dxfId="653"/>
      <tableStyleElement type="firstRowStripe" dxfId="655"/>
      <tableStyleElement type="secondRowStripe" dxfId="654"/>
    </tableStyle>
    <tableStyle name="Servente-style 15" pivot="0" count="4">
      <tableStyleElement type="headerRow" dxfId="652"/>
      <tableStyleElement type="totalRow" dxfId="649"/>
      <tableStyleElement type="firstRowStripe" dxfId="651"/>
      <tableStyleElement type="secondRowStripe" dxfId="650"/>
    </tableStyle>
    <tableStyle name="Servente-style 16" pivot="0" count="4">
      <tableStyleElement type="headerRow" dxfId="648"/>
      <tableStyleElement type="totalRow" dxfId="645"/>
      <tableStyleElement type="firstRowStripe" dxfId="647"/>
      <tableStyleElement type="secondRowStripe" dxfId="646"/>
    </tableStyle>
    <tableStyle name="Servente-style 17" pivot="0" count="3">
      <tableStyleElement type="headerRow" dxfId="644"/>
      <tableStyleElement type="firstRowStripe" dxfId="643"/>
      <tableStyleElement type="secondRowStripe" dxfId="642"/>
    </tableStyle>
    <tableStyle name="Servente-style 18" pivot="0" count="4">
      <tableStyleElement type="headerRow" dxfId="641"/>
      <tableStyleElement type="totalRow" dxfId="638"/>
      <tableStyleElement type="firstRowStripe" dxfId="640"/>
      <tableStyleElement type="secondRowStripe" dxfId="639"/>
    </tableStyle>
    <tableStyle name="Servente-style 19" pivot="0" count="3">
      <tableStyleElement type="headerRow" dxfId="637"/>
      <tableStyleElement type="firstRowStripe" dxfId="636"/>
      <tableStyleElement type="secondRowStripe" dxfId="635"/>
    </tableStyle>
    <tableStyle name="Servente-style 20" pivot="0" count="3">
      <tableStyleElement type="headerRow" dxfId="634"/>
      <tableStyleElement type="firstRowStripe" dxfId="633"/>
      <tableStyleElement type="secondRowStripe" dxfId="632"/>
    </tableStyle>
    <tableStyle name="Servente-style 21" pivot="0" count="4">
      <tableStyleElement type="headerRow" dxfId="631"/>
      <tableStyleElement type="totalRow" dxfId="628"/>
      <tableStyleElement type="firstRowStripe" dxfId="630"/>
      <tableStyleElement type="secondRowStripe" dxfId="629"/>
    </tableStyle>
    <tableStyle name="Servente-style 22" pivot="0" count="4">
      <tableStyleElement type="headerRow" dxfId="627"/>
      <tableStyleElement type="totalRow" dxfId="624"/>
      <tableStyleElement type="firstRowStripe" dxfId="626"/>
      <tableStyleElement type="secondRowStripe" dxfId="625"/>
    </tableStyle>
    <tableStyle name="Servente-style 23" pivot="0" count="3">
      <tableStyleElement type="headerRow" dxfId="623"/>
      <tableStyleElement type="firstRowStripe" dxfId="622"/>
      <tableStyleElement type="secondRowStripe" dxfId="621"/>
    </tableStyle>
    <tableStyle name="Encarregado-style" pivot="0" count="4">
      <tableStyleElement type="headerRow" dxfId="620"/>
      <tableStyleElement type="totalRow" dxfId="617"/>
      <tableStyleElement type="firstRowStripe" dxfId="619"/>
      <tableStyleElement type="secondRowStripe" dxfId="618"/>
    </tableStyle>
    <tableStyle name="Encarregado-style 2" pivot="0" count="4">
      <tableStyleElement type="headerRow" dxfId="616"/>
      <tableStyleElement type="totalRow" dxfId="613"/>
      <tableStyleElement type="firstRowStripe" dxfId="615"/>
      <tableStyleElement type="secondRowStripe" dxfId="614"/>
    </tableStyle>
    <tableStyle name="Encarregado-style 3" pivot="0" count="3">
      <tableStyleElement type="headerRow" dxfId="612"/>
      <tableStyleElement type="firstRowStripe" dxfId="611"/>
      <tableStyleElement type="secondRowStripe" dxfId="610"/>
    </tableStyle>
    <tableStyle name="Encarregado-style 4" pivot="0" count="3">
      <tableStyleElement type="headerRow" dxfId="609"/>
      <tableStyleElement type="firstRowStripe" dxfId="608"/>
      <tableStyleElement type="secondRowStripe" dxfId="607"/>
    </tableStyle>
    <tableStyle name="Encarregado-style 5" pivot="0" count="4">
      <tableStyleElement type="headerRow" dxfId="606"/>
      <tableStyleElement type="totalRow" dxfId="603"/>
      <tableStyleElement type="firstRowStripe" dxfId="605"/>
      <tableStyleElement type="secondRowStripe" dxfId="604"/>
    </tableStyle>
    <tableStyle name="Encarregado-style 6" pivot="0" count="4">
      <tableStyleElement type="headerRow" dxfId="602"/>
      <tableStyleElement type="totalRow" dxfId="599"/>
      <tableStyleElement type="firstRowStripe" dxfId="601"/>
      <tableStyleElement type="secondRowStripe" dxfId="600"/>
    </tableStyle>
    <tableStyle name="Encarregado-style 7" pivot="0" count="3">
      <tableStyleElement type="headerRow" dxfId="598"/>
      <tableStyleElement type="firstRowStripe" dxfId="597"/>
      <tableStyleElement type="secondRowStripe" dxfId="596"/>
    </tableStyle>
    <tableStyle name="Encarregado-style 8" pivot="0" count="3">
      <tableStyleElement type="headerRow" dxfId="595"/>
      <tableStyleElement type="firstRowStripe" dxfId="594"/>
      <tableStyleElement type="secondRowStripe" dxfId="593"/>
    </tableStyle>
    <tableStyle name="Encarregado-style 9" pivot="0" count="4">
      <tableStyleElement type="headerRow" dxfId="592"/>
      <tableStyleElement type="totalRow" dxfId="589"/>
      <tableStyleElement type="firstRowStripe" dxfId="591"/>
      <tableStyleElement type="secondRowStripe" dxfId="590"/>
    </tableStyle>
    <tableStyle name="Encarregado-style 10" pivot="0" count="4">
      <tableStyleElement type="headerRow" dxfId="588"/>
      <tableStyleElement type="totalRow" dxfId="585"/>
      <tableStyleElement type="firstRowStripe" dxfId="587"/>
      <tableStyleElement type="secondRowStripe" dxfId="586"/>
    </tableStyle>
    <tableStyle name="Encarregado-style 11" pivot="0" count="3">
      <tableStyleElement type="headerRow" dxfId="584"/>
      <tableStyleElement type="firstRowStripe" dxfId="583"/>
      <tableStyleElement type="secondRowStripe" dxfId="582"/>
    </tableStyle>
    <tableStyle name="Encarregado-style 12" pivot="0" count="4">
      <tableStyleElement type="headerRow" dxfId="581"/>
      <tableStyleElement type="totalRow" dxfId="578"/>
      <tableStyleElement type="firstRowStripe" dxfId="580"/>
      <tableStyleElement type="secondRowStripe" dxfId="579"/>
    </tableStyle>
    <tableStyle name="Encarregado-style 13" pivot="0" count="4">
      <tableStyleElement type="headerRow" dxfId="577"/>
      <tableStyleElement type="totalRow" dxfId="574"/>
      <tableStyleElement type="firstRowStripe" dxfId="576"/>
      <tableStyleElement type="secondRowStripe" dxfId="575"/>
    </tableStyle>
    <tableStyle name="Encarregado-style 14" pivot="0" count="4">
      <tableStyleElement type="headerRow" dxfId="573"/>
      <tableStyleElement type="totalRow" dxfId="570"/>
      <tableStyleElement type="firstRowStripe" dxfId="572"/>
      <tableStyleElement type="secondRowStripe" dxfId="571"/>
    </tableStyle>
    <tableStyle name="Encarregado-style 15" pivot="0" count="4">
      <tableStyleElement type="headerRow" dxfId="569"/>
      <tableStyleElement type="totalRow" dxfId="566"/>
      <tableStyleElement type="firstRowStripe" dxfId="568"/>
      <tableStyleElement type="secondRowStripe" dxfId="567"/>
    </tableStyle>
    <tableStyle name="Encarregado-style 16" pivot="0" count="3">
      <tableStyleElement type="headerRow" dxfId="565"/>
      <tableStyleElement type="firstRowStripe" dxfId="564"/>
      <tableStyleElement type="secondRowStripe" dxfId="563"/>
    </tableStyle>
    <tableStyle name="Encarregado-style 17" pivot="0" count="3">
      <tableStyleElement type="headerRow" dxfId="562"/>
      <tableStyleElement type="firstRowStripe" dxfId="561"/>
      <tableStyleElement type="secondRowStripe" dxfId="560"/>
    </tableStyle>
    <tableStyle name="Encarregado-style 18" pivot="0" count="3">
      <tableStyleElement type="headerRow" dxfId="559"/>
      <tableStyleElement type="firstRowStripe" dxfId="558"/>
      <tableStyleElement type="secondRowStripe" dxfId="557"/>
    </tableStyle>
    <tableStyle name="Encarregado-style 19" pivot="0" count="3">
      <tableStyleElement type="headerRow" dxfId="556"/>
      <tableStyleElement type="firstRowStripe" dxfId="555"/>
      <tableStyleElement type="secondRowStripe" dxfId="554"/>
    </tableStyle>
    <tableStyle name="Encarregado-style 20" pivot="0" count="4">
      <tableStyleElement type="headerRow" dxfId="553"/>
      <tableStyleElement type="totalRow" dxfId="550"/>
      <tableStyleElement type="firstRowStripe" dxfId="552"/>
      <tableStyleElement type="secondRowStripe" dxfId="551"/>
    </tableStyle>
    <tableStyle name="Encarregado-style 21" pivot="0" count="4">
      <tableStyleElement type="headerRow" dxfId="549"/>
      <tableStyleElement type="totalRow" dxfId="546"/>
      <tableStyleElement type="firstRowStripe" dxfId="548"/>
      <tableStyleElement type="secondRowStripe" dxfId="547"/>
    </tableStyle>
    <tableStyle name="Encarregado-style 22" pivot="0" count="3">
      <tableStyleElement type="headerRow" dxfId="545"/>
      <tableStyleElement type="firstRowStripe" dxfId="544"/>
      <tableStyleElement type="secondRowStripe" dxfId="543"/>
    </tableStyle>
    <tableStyle name="Encarregado-style 23" pivot="0" count="3">
      <tableStyleElement type="headerRow" dxfId="542"/>
      <tableStyleElement type="firstRowStripe" dxfId="541"/>
      <tableStyleElement type="secondRowStripe" dxfId="540"/>
    </tableStyle>
    <tableStyle name="Monitor de Sistemas Eletrônicos-style" pivot="0" count="4">
      <tableStyleElement type="headerRow" dxfId="539"/>
      <tableStyleElement type="totalRow" dxfId="536"/>
      <tableStyleElement type="firstRowStripe" dxfId="538"/>
      <tableStyleElement type="secondRowStripe" dxfId="537"/>
    </tableStyle>
    <tableStyle name="Monitor de Sistemas Eletrônicos-style 2" pivot="0" count="4">
      <tableStyleElement type="headerRow" dxfId="535"/>
      <tableStyleElement type="totalRow" dxfId="532"/>
      <tableStyleElement type="firstRowStripe" dxfId="534"/>
      <tableStyleElement type="secondRowStripe" dxfId="533"/>
    </tableStyle>
    <tableStyle name="Monitor de Sistemas Eletrônicos-style 3" pivot="0" count="3">
      <tableStyleElement type="headerRow" dxfId="531"/>
      <tableStyleElement type="firstRowStripe" dxfId="530"/>
      <tableStyleElement type="secondRowStripe" dxfId="529"/>
    </tableStyle>
    <tableStyle name="Monitor de Sistemas Eletrônicos-style 4" pivot="0" count="3">
      <tableStyleElement type="headerRow" dxfId="528"/>
      <tableStyleElement type="firstRowStripe" dxfId="527"/>
      <tableStyleElement type="secondRowStripe" dxfId="526"/>
    </tableStyle>
    <tableStyle name="Monitor de Sistemas Eletrônicos-style 5" pivot="0" count="4">
      <tableStyleElement type="headerRow" dxfId="525"/>
      <tableStyleElement type="totalRow" dxfId="522"/>
      <tableStyleElement type="firstRowStripe" dxfId="524"/>
      <tableStyleElement type="secondRowStripe" dxfId="523"/>
    </tableStyle>
    <tableStyle name="Monitor de Sistemas Eletrônicos-style 6" pivot="0" count="4">
      <tableStyleElement type="headerRow" dxfId="521"/>
      <tableStyleElement type="totalRow" dxfId="518"/>
      <tableStyleElement type="firstRowStripe" dxfId="520"/>
      <tableStyleElement type="secondRowStripe" dxfId="519"/>
    </tableStyle>
    <tableStyle name="Monitor de Sistemas Eletrônicos-style 7" pivot="0" count="4">
      <tableStyleElement type="headerRow" dxfId="517"/>
      <tableStyleElement type="totalRow" dxfId="514"/>
      <tableStyleElement type="firstRowStripe" dxfId="516"/>
      <tableStyleElement type="secondRowStripe" dxfId="515"/>
    </tableStyle>
    <tableStyle name="Monitor de Sistemas Eletrônicos-style 8" pivot="0" count="4">
      <tableStyleElement type="headerRow" dxfId="513"/>
      <tableStyleElement type="totalRow" dxfId="510"/>
      <tableStyleElement type="firstRowStripe" dxfId="512"/>
      <tableStyleElement type="secondRowStripe" dxfId="511"/>
    </tableStyle>
    <tableStyle name="Monitor de Sistemas Eletrônicos-style 9" pivot="0" count="4">
      <tableStyleElement type="headerRow" dxfId="509"/>
      <tableStyleElement type="totalRow" dxfId="506"/>
      <tableStyleElement type="firstRowStripe" dxfId="508"/>
      <tableStyleElement type="secondRowStripe" dxfId="507"/>
    </tableStyle>
    <tableStyle name="Monitor de Sistemas Eletrônicos-style 10" pivot="0" count="4">
      <tableStyleElement type="headerRow" dxfId="505"/>
      <tableStyleElement type="totalRow" dxfId="502"/>
      <tableStyleElement type="firstRowStripe" dxfId="504"/>
      <tableStyleElement type="secondRowStripe" dxfId="503"/>
    </tableStyle>
    <tableStyle name="Monitor de Sistemas Eletrônicos-style 11" pivot="0" count="4">
      <tableStyleElement type="headerRow" dxfId="501"/>
      <tableStyleElement type="totalRow" dxfId="498"/>
      <tableStyleElement type="firstRowStripe" dxfId="500"/>
      <tableStyleElement type="secondRowStripe" dxfId="499"/>
    </tableStyle>
    <tableStyle name="Monitor de Sistemas Eletrônicos-style 12" pivot="0" count="4">
      <tableStyleElement type="headerRow" dxfId="497"/>
      <tableStyleElement type="totalRow" dxfId="494"/>
      <tableStyleElement type="firstRowStripe" dxfId="496"/>
      <tableStyleElement type="secondRowStripe" dxfId="495"/>
    </tableStyle>
    <tableStyle name="Monitor de Sistemas Eletrônicos-style 13" pivot="0" count="4">
      <tableStyleElement type="headerRow" dxfId="493"/>
      <tableStyleElement type="totalRow" dxfId="490"/>
      <tableStyleElement type="firstRowStripe" dxfId="492"/>
      <tableStyleElement type="secondRowStripe" dxfId="491"/>
    </tableStyle>
    <tableStyle name="Monitor de Sistemas Eletrônicos-style 14" pivot="0" count="4">
      <tableStyleElement type="headerRow" dxfId="489"/>
      <tableStyleElement type="totalRow" dxfId="486"/>
      <tableStyleElement type="firstRowStripe" dxfId="488"/>
      <tableStyleElement type="secondRowStripe" dxfId="487"/>
    </tableStyle>
    <tableStyle name="Almoxarife-style" pivot="0" count="4">
      <tableStyleElement type="headerRow" dxfId="485"/>
      <tableStyleElement type="totalRow" dxfId="482"/>
      <tableStyleElement type="firstRowStripe" dxfId="484"/>
      <tableStyleElement type="secondRowStripe" dxfId="483"/>
    </tableStyle>
    <tableStyle name="Almoxarife-style 2" pivot="0" count="4">
      <tableStyleElement type="headerRow" dxfId="481"/>
      <tableStyleElement type="totalRow" dxfId="478"/>
      <tableStyleElement type="firstRowStripe" dxfId="480"/>
      <tableStyleElement type="secondRowStripe" dxfId="479"/>
    </tableStyle>
    <tableStyle name="Almoxarife-style 3" pivot="0" count="3">
      <tableStyleElement type="headerRow" dxfId="477"/>
      <tableStyleElement type="firstRowStripe" dxfId="476"/>
      <tableStyleElement type="secondRowStripe" dxfId="475"/>
    </tableStyle>
    <tableStyle name="Almoxarife-style 4" pivot="0" count="4">
      <tableStyleElement type="headerRow" dxfId="474"/>
      <tableStyleElement type="totalRow" dxfId="471"/>
      <tableStyleElement type="firstRowStripe" dxfId="473"/>
      <tableStyleElement type="secondRowStripe" dxfId="472"/>
    </tableStyle>
    <tableStyle name="Almoxarife-style 5" pivot="0" count="4">
      <tableStyleElement type="headerRow" dxfId="470"/>
      <tableStyleElement type="totalRow" dxfId="467"/>
      <tableStyleElement type="firstRowStripe" dxfId="469"/>
      <tableStyleElement type="secondRowStripe" dxfId="468"/>
    </tableStyle>
    <tableStyle name="Almoxarife-style 6" pivot="0" count="4">
      <tableStyleElement type="headerRow" dxfId="466"/>
      <tableStyleElement type="totalRow" dxfId="463"/>
      <tableStyleElement type="firstRowStripe" dxfId="465"/>
      <tableStyleElement type="secondRowStripe" dxfId="464"/>
    </tableStyle>
    <tableStyle name="Almoxarife-style 7" pivot="0" count="4">
      <tableStyleElement type="headerRow" dxfId="462"/>
      <tableStyleElement type="totalRow" dxfId="459"/>
      <tableStyleElement type="firstRowStripe" dxfId="461"/>
      <tableStyleElement type="secondRowStripe" dxfId="460"/>
    </tableStyle>
    <tableStyle name="Almoxarife-style 8" pivot="0" count="4">
      <tableStyleElement type="headerRow" dxfId="458"/>
      <tableStyleElement type="totalRow" dxfId="455"/>
      <tableStyleElement type="firstRowStripe" dxfId="457"/>
      <tableStyleElement type="secondRowStripe" dxfId="456"/>
    </tableStyle>
    <tableStyle name="Almoxarife-style 9" pivot="0" count="4">
      <tableStyleElement type="headerRow" dxfId="454"/>
      <tableStyleElement type="totalRow" dxfId="451"/>
      <tableStyleElement type="firstRowStripe" dxfId="453"/>
      <tableStyleElement type="secondRowStripe" dxfId="452"/>
    </tableStyle>
    <tableStyle name="Almoxarife-style 10" pivot="0" count="3">
      <tableStyleElement type="headerRow" dxfId="450"/>
      <tableStyleElement type="firstRowStripe" dxfId="449"/>
      <tableStyleElement type="secondRowStripe" dxfId="448"/>
    </tableStyle>
    <tableStyle name="Almoxarife-style 11" pivot="0" count="4">
      <tableStyleElement type="headerRow" dxfId="447"/>
      <tableStyleElement type="totalRow" dxfId="444"/>
      <tableStyleElement type="firstRowStripe" dxfId="446"/>
      <tableStyleElement type="secondRowStripe" dxfId="445"/>
    </tableStyle>
    <tableStyle name="Almoxarife-style 12" pivot="0" count="4">
      <tableStyleElement type="headerRow" dxfId="443"/>
      <tableStyleElement type="totalRow" dxfId="440"/>
      <tableStyleElement type="firstRowStripe" dxfId="442"/>
      <tableStyleElement type="secondRowStripe" dxfId="441"/>
    </tableStyle>
    <tableStyle name="Almoxarife-style 13" pivot="0" count="4">
      <tableStyleElement type="headerRow" dxfId="439"/>
      <tableStyleElement type="totalRow" dxfId="436"/>
      <tableStyleElement type="firstRowStripe" dxfId="438"/>
      <tableStyleElement type="secondRowStripe" dxfId="437"/>
    </tableStyle>
    <tableStyle name="Almoxarife-style 14" pivot="0" count="4">
      <tableStyleElement type="headerRow" dxfId="435"/>
      <tableStyleElement type="totalRow" dxfId="432"/>
      <tableStyleElement type="firstRowStripe" dxfId="434"/>
      <tableStyleElement type="secondRowStripe" dxfId="433"/>
    </tableStyle>
    <tableStyle name="Recepcionista-style" pivot="0" count="4">
      <tableStyleElement type="headerRow" dxfId="431"/>
      <tableStyleElement type="totalRow" dxfId="428"/>
      <tableStyleElement type="firstRowStripe" dxfId="430"/>
      <tableStyleElement type="secondRowStripe" dxfId="429"/>
    </tableStyle>
    <tableStyle name="Recepcionista-style 2" pivot="0" count="4">
      <tableStyleElement type="headerRow" dxfId="427"/>
      <tableStyleElement type="totalRow" dxfId="424"/>
      <tableStyleElement type="firstRowStripe" dxfId="426"/>
      <tableStyleElement type="secondRowStripe" dxfId="425"/>
    </tableStyle>
    <tableStyle name="Recepcionista-style 3" pivot="0" count="4">
      <tableStyleElement type="headerRow" dxfId="423"/>
      <tableStyleElement type="totalRow" dxfId="420"/>
      <tableStyleElement type="firstRowStripe" dxfId="422"/>
      <tableStyleElement type="secondRowStripe" dxfId="421"/>
    </tableStyle>
    <tableStyle name="Recepcionista-style 4" pivot="0" count="4">
      <tableStyleElement type="headerRow" dxfId="419"/>
      <tableStyleElement type="totalRow" dxfId="416"/>
      <tableStyleElement type="firstRowStripe" dxfId="418"/>
      <tableStyleElement type="secondRowStripe" dxfId="417"/>
    </tableStyle>
    <tableStyle name="Recepcionista-style 5" pivot="0" count="3">
      <tableStyleElement type="headerRow" dxfId="415"/>
      <tableStyleElement type="firstRowStripe" dxfId="414"/>
      <tableStyleElement type="secondRowStripe" dxfId="413"/>
    </tableStyle>
    <tableStyle name="Recepcionista-style 6" pivot="0" count="4">
      <tableStyleElement type="headerRow" dxfId="412"/>
      <tableStyleElement type="totalRow" dxfId="409"/>
      <tableStyleElement type="firstRowStripe" dxfId="411"/>
      <tableStyleElement type="secondRowStripe" dxfId="410"/>
    </tableStyle>
    <tableStyle name="Recepcionista-style 7" pivot="0" count="4">
      <tableStyleElement type="headerRow" dxfId="408"/>
      <tableStyleElement type="totalRow" dxfId="405"/>
      <tableStyleElement type="firstRowStripe" dxfId="407"/>
      <tableStyleElement type="secondRowStripe" dxfId="406"/>
    </tableStyle>
    <tableStyle name="Recepcionista-style 8" pivot="0" count="4">
      <tableStyleElement type="headerRow" dxfId="404"/>
      <tableStyleElement type="totalRow" dxfId="401"/>
      <tableStyleElement type="firstRowStripe" dxfId="403"/>
      <tableStyleElement type="secondRowStripe" dxfId="402"/>
    </tableStyle>
    <tableStyle name="Recepcionista-style 9" pivot="0" count="4">
      <tableStyleElement type="headerRow" dxfId="400"/>
      <tableStyleElement type="totalRow" dxfId="397"/>
      <tableStyleElement type="firstRowStripe" dxfId="399"/>
      <tableStyleElement type="secondRowStripe" dxfId="398"/>
    </tableStyle>
    <tableStyle name="Recepcionista-style 10" pivot="0" count="4">
      <tableStyleElement type="headerRow" dxfId="396"/>
      <tableStyleElement type="totalRow" dxfId="393"/>
      <tableStyleElement type="firstRowStripe" dxfId="395"/>
      <tableStyleElement type="secondRowStripe" dxfId="394"/>
    </tableStyle>
    <tableStyle name="Recepcionista-style 11" pivot="0" count="4">
      <tableStyleElement type="headerRow" dxfId="392"/>
      <tableStyleElement type="totalRow" dxfId="389"/>
      <tableStyleElement type="firstRowStripe" dxfId="391"/>
      <tableStyleElement type="secondRowStripe" dxfId="390"/>
    </tableStyle>
    <tableStyle name="Recepcionista-style 12" pivot="0" count="3">
      <tableStyleElement type="headerRow" dxfId="388"/>
      <tableStyleElement type="firstRowStripe" dxfId="387"/>
      <tableStyleElement type="secondRowStripe" dxfId="386"/>
    </tableStyle>
    <tableStyle name="Recepcionista-style 13" pivot="0" count="4">
      <tableStyleElement type="headerRow" dxfId="385"/>
      <tableStyleElement type="totalRow" dxfId="382"/>
      <tableStyleElement type="firstRowStripe" dxfId="384"/>
      <tableStyleElement type="secondRowStripe" dxfId="383"/>
    </tableStyle>
    <tableStyle name="Recepcionista-style 14" pivot="0" count="4">
      <tableStyleElement type="headerRow" dxfId="381"/>
      <tableStyleElement type="totalRow" dxfId="378"/>
      <tableStyleElement type="firstRowStripe" dxfId="380"/>
      <tableStyleElement type="secondRowStripe" dxfId="379"/>
    </tableStyle>
    <tableStyle name="Operador de Fotocopiadora-style" pivot="0" count="4">
      <tableStyleElement type="headerRow" dxfId="377"/>
      <tableStyleElement type="totalRow" dxfId="374"/>
      <tableStyleElement type="firstRowStripe" dxfId="376"/>
      <tableStyleElement type="secondRowStripe" dxfId="375"/>
    </tableStyle>
    <tableStyle name="Operador de Fotocopiadora-style 2" pivot="0" count="4">
      <tableStyleElement type="headerRow" dxfId="373"/>
      <tableStyleElement type="totalRow" dxfId="370"/>
      <tableStyleElement type="firstRowStripe" dxfId="372"/>
      <tableStyleElement type="secondRowStripe" dxfId="371"/>
    </tableStyle>
    <tableStyle name="Operador de Fotocopiadora-style 3" pivot="0" count="4">
      <tableStyleElement type="headerRow" dxfId="369"/>
      <tableStyleElement type="totalRow" dxfId="366"/>
      <tableStyleElement type="firstRowStripe" dxfId="368"/>
      <tableStyleElement type="secondRowStripe" dxfId="367"/>
    </tableStyle>
    <tableStyle name="Operador de Fotocopiadora-style 4" pivot="0" count="4">
      <tableStyleElement type="headerRow" dxfId="365"/>
      <tableStyleElement type="totalRow" dxfId="362"/>
      <tableStyleElement type="firstRowStripe" dxfId="364"/>
      <tableStyleElement type="secondRowStripe" dxfId="363"/>
    </tableStyle>
    <tableStyle name="Operador de Fotocopiadora-style 5" pivot="0" count="4">
      <tableStyleElement type="headerRow" dxfId="361"/>
      <tableStyleElement type="totalRow" dxfId="358"/>
      <tableStyleElement type="firstRowStripe" dxfId="360"/>
      <tableStyleElement type="secondRowStripe" dxfId="359"/>
    </tableStyle>
    <tableStyle name="Operador de Fotocopiadora-style 6" pivot="0" count="4">
      <tableStyleElement type="headerRow" dxfId="357"/>
      <tableStyleElement type="totalRow" dxfId="354"/>
      <tableStyleElement type="firstRowStripe" dxfId="356"/>
      <tableStyleElement type="secondRowStripe" dxfId="355"/>
    </tableStyle>
    <tableStyle name="Operador de Fotocopiadora-style 7" pivot="0" count="4">
      <tableStyleElement type="headerRow" dxfId="353"/>
      <tableStyleElement type="totalRow" dxfId="350"/>
      <tableStyleElement type="firstRowStripe" dxfId="352"/>
      <tableStyleElement type="secondRowStripe" dxfId="351"/>
    </tableStyle>
    <tableStyle name="Operador de Fotocopiadora-style 8" pivot="0" count="4">
      <tableStyleElement type="headerRow" dxfId="349"/>
      <tableStyleElement type="totalRow" dxfId="346"/>
      <tableStyleElement type="firstRowStripe" dxfId="348"/>
      <tableStyleElement type="secondRowStripe" dxfId="347"/>
    </tableStyle>
    <tableStyle name="Operador de Fotocopiadora-style 9" pivot="0" count="4">
      <tableStyleElement type="headerRow" dxfId="345"/>
      <tableStyleElement type="totalRow" dxfId="342"/>
      <tableStyleElement type="firstRowStripe" dxfId="344"/>
      <tableStyleElement type="secondRowStripe" dxfId="343"/>
    </tableStyle>
    <tableStyle name="Operador de Fotocopiadora-style 10" pivot="0" count="4">
      <tableStyleElement type="headerRow" dxfId="341"/>
      <tableStyleElement type="totalRow" dxfId="338"/>
      <tableStyleElement type="firstRowStripe" dxfId="340"/>
      <tableStyleElement type="secondRowStripe" dxfId="339"/>
    </tableStyle>
    <tableStyle name="Operador de Fotocopiadora-style 11" pivot="0" count="4">
      <tableStyleElement type="headerRow" dxfId="337"/>
      <tableStyleElement type="totalRow" dxfId="334"/>
      <tableStyleElement type="firstRowStripe" dxfId="336"/>
      <tableStyleElement type="secondRowStripe" dxfId="335"/>
    </tableStyle>
    <tableStyle name="Operador de Fotocopiadora-style 12" pivot="0" count="4">
      <tableStyleElement type="headerRow" dxfId="333"/>
      <tableStyleElement type="totalRow" dxfId="330"/>
      <tableStyleElement type="firstRowStripe" dxfId="332"/>
      <tableStyleElement type="secondRowStripe" dxfId="331"/>
    </tableStyle>
    <tableStyle name="Operador de Fotocopiadora-style 13" pivot="0" count="3">
      <tableStyleElement type="headerRow" dxfId="329"/>
      <tableStyleElement type="firstRowStripe" dxfId="328"/>
      <tableStyleElement type="secondRowStripe" dxfId="327"/>
    </tableStyle>
    <tableStyle name="Operador de Fotocopiadora-style 14" pivot="0" count="3">
      <tableStyleElement type="headerRow" dxfId="326"/>
      <tableStyleElement type="firstRowStripe" dxfId="325"/>
      <tableStyleElement type="secondRowStripe" dxfId="324"/>
    </tableStyle>
    <tableStyle name="Copeiro-style" pivot="0" count="4">
      <tableStyleElement type="headerRow" dxfId="323"/>
      <tableStyleElement type="totalRow" dxfId="320"/>
      <tableStyleElement type="firstRowStripe" dxfId="322"/>
      <tableStyleElement type="secondRowStripe" dxfId="321"/>
    </tableStyle>
    <tableStyle name="Copeiro-style 2" pivot="0" count="4">
      <tableStyleElement type="headerRow" dxfId="319"/>
      <tableStyleElement type="totalRow" dxfId="316"/>
      <tableStyleElement type="firstRowStripe" dxfId="318"/>
      <tableStyleElement type="secondRowStripe" dxfId="317"/>
    </tableStyle>
    <tableStyle name="Copeiro-style 3" pivot="0" count="4">
      <tableStyleElement type="headerRow" dxfId="315"/>
      <tableStyleElement type="totalRow" dxfId="312"/>
      <tableStyleElement type="firstRowStripe" dxfId="314"/>
      <tableStyleElement type="secondRowStripe" dxfId="313"/>
    </tableStyle>
    <tableStyle name="Copeiro-style 4" pivot="0" count="4">
      <tableStyleElement type="headerRow" dxfId="311"/>
      <tableStyleElement type="totalRow" dxfId="308"/>
      <tableStyleElement type="firstRowStripe" dxfId="310"/>
      <tableStyleElement type="secondRowStripe" dxfId="309"/>
    </tableStyle>
    <tableStyle name="Copeiro-style 5" pivot="0" count="4">
      <tableStyleElement type="headerRow" dxfId="307"/>
      <tableStyleElement type="totalRow" dxfId="304"/>
      <tableStyleElement type="firstRowStripe" dxfId="306"/>
      <tableStyleElement type="secondRowStripe" dxfId="305"/>
    </tableStyle>
    <tableStyle name="Copeiro-style 6" pivot="0" count="4">
      <tableStyleElement type="headerRow" dxfId="303"/>
      <tableStyleElement type="totalRow" dxfId="300"/>
      <tableStyleElement type="firstRowStripe" dxfId="302"/>
      <tableStyleElement type="secondRowStripe" dxfId="301"/>
    </tableStyle>
    <tableStyle name="Copeiro-style 7" pivot="0" count="4">
      <tableStyleElement type="headerRow" dxfId="299"/>
      <tableStyleElement type="totalRow" dxfId="296"/>
      <tableStyleElement type="firstRowStripe" dxfId="298"/>
      <tableStyleElement type="secondRowStripe" dxfId="297"/>
    </tableStyle>
    <tableStyle name="Copeiro-style 8" pivot="0" count="3">
      <tableStyleElement type="headerRow" dxfId="295"/>
      <tableStyleElement type="firstRowStripe" dxfId="294"/>
      <tableStyleElement type="secondRowStripe" dxfId="293"/>
    </tableStyle>
    <tableStyle name="Copeiro-style 9" pivot="0" count="4">
      <tableStyleElement type="headerRow" dxfId="292"/>
      <tableStyleElement type="totalRow" dxfId="289"/>
      <tableStyleElement type="firstRowStripe" dxfId="291"/>
      <tableStyleElement type="secondRowStripe" dxfId="290"/>
    </tableStyle>
    <tableStyle name="Copeiro-style 10" pivot="0" count="3">
      <tableStyleElement type="headerRow" dxfId="288"/>
      <tableStyleElement type="firstRowStripe" dxfId="287"/>
      <tableStyleElement type="secondRowStripe" dxfId="286"/>
    </tableStyle>
    <tableStyle name="Copeiro-style 11" pivot="0" count="4">
      <tableStyleElement type="headerRow" dxfId="285"/>
      <tableStyleElement type="totalRow" dxfId="282"/>
      <tableStyleElement type="firstRowStripe" dxfId="284"/>
      <tableStyleElement type="secondRowStripe" dxfId="283"/>
    </tableStyle>
    <tableStyle name="Copeiro-style 12" pivot="0" count="4">
      <tableStyleElement type="headerRow" dxfId="281"/>
      <tableStyleElement type="totalRow" dxfId="278"/>
      <tableStyleElement type="firstRowStripe" dxfId="280"/>
      <tableStyleElement type="secondRowStripe" dxfId="279"/>
    </tableStyle>
    <tableStyle name="Copeiro-style 13" pivot="0" count="4">
      <tableStyleElement type="headerRow" dxfId="277"/>
      <tableStyleElement type="totalRow" dxfId="274"/>
      <tableStyleElement type="firstRowStripe" dxfId="276"/>
      <tableStyleElement type="secondRowStripe" dxfId="275"/>
    </tableStyle>
    <tableStyle name="Copeiro-style 14" pivot="0" count="4">
      <tableStyleElement type="headerRow" dxfId="273"/>
      <tableStyleElement type="totalRow" dxfId="270"/>
      <tableStyleElement type="firstRowStripe" dxfId="272"/>
      <tableStyleElement type="secondRowStripe" dxfId="271"/>
    </tableStyle>
    <tableStyle name="Mont. Equip. Elet.-style" pivot="0" count="4">
      <tableStyleElement type="headerRow" dxfId="269"/>
      <tableStyleElement type="totalRow" dxfId="266"/>
      <tableStyleElement type="firstRowStripe" dxfId="268"/>
      <tableStyleElement type="secondRowStripe" dxfId="267"/>
    </tableStyle>
    <tableStyle name="Mont. Equip. Elet.-style 2" pivot="0" count="4">
      <tableStyleElement type="headerRow" dxfId="265"/>
      <tableStyleElement type="totalRow" dxfId="262"/>
      <tableStyleElement type="firstRowStripe" dxfId="264"/>
      <tableStyleElement type="secondRowStripe" dxfId="263"/>
    </tableStyle>
    <tableStyle name="Mont. Equip. Elet.-style 3" pivot="0" count="4">
      <tableStyleElement type="headerRow" dxfId="261"/>
      <tableStyleElement type="totalRow" dxfId="258"/>
      <tableStyleElement type="firstRowStripe" dxfId="260"/>
      <tableStyleElement type="secondRowStripe" dxfId="259"/>
    </tableStyle>
    <tableStyle name="Mont. Equip. Elet.-style 4" pivot="0" count="3">
      <tableStyleElement type="headerRow" dxfId="257"/>
      <tableStyleElement type="firstRowStripe" dxfId="256"/>
      <tableStyleElement type="secondRowStripe" dxfId="255"/>
    </tableStyle>
    <tableStyle name="Mont. Equip. Elet.-style 5" pivot="0" count="3">
      <tableStyleElement type="headerRow" dxfId="254"/>
      <tableStyleElement type="firstRowStripe" dxfId="253"/>
      <tableStyleElement type="secondRowStripe" dxfId="252"/>
    </tableStyle>
    <tableStyle name="Mont. Equip. Elet.-style 6" pivot="0" count="4">
      <tableStyleElement type="headerRow" dxfId="251"/>
      <tableStyleElement type="totalRow" dxfId="248"/>
      <tableStyleElement type="firstRowStripe" dxfId="250"/>
      <tableStyleElement type="secondRowStripe" dxfId="249"/>
    </tableStyle>
    <tableStyle name="Mont. Equip. Elet.-style 7" pivot="0" count="4">
      <tableStyleElement type="headerRow" dxfId="247"/>
      <tableStyleElement type="totalRow" dxfId="244"/>
      <tableStyleElement type="firstRowStripe" dxfId="246"/>
      <tableStyleElement type="secondRowStripe" dxfId="245"/>
    </tableStyle>
    <tableStyle name="Mont. Equip. Elet.-style 8" pivot="0" count="4">
      <tableStyleElement type="headerRow" dxfId="243"/>
      <tableStyleElement type="totalRow" dxfId="240"/>
      <tableStyleElement type="firstRowStripe" dxfId="242"/>
      <tableStyleElement type="secondRowStripe" dxfId="241"/>
    </tableStyle>
    <tableStyle name="Mont. Equip. Elet.-style 9" pivot="0" count="4">
      <tableStyleElement type="headerRow" dxfId="239"/>
      <tableStyleElement type="totalRow" dxfId="236"/>
      <tableStyleElement type="firstRowStripe" dxfId="238"/>
      <tableStyleElement type="secondRowStripe" dxfId="237"/>
    </tableStyle>
    <tableStyle name="Mont. Equip. Elet.-style 10" pivot="0" count="4">
      <tableStyleElement type="headerRow" dxfId="235"/>
      <tableStyleElement type="totalRow" dxfId="232"/>
      <tableStyleElement type="firstRowStripe" dxfId="234"/>
      <tableStyleElement type="secondRowStripe" dxfId="233"/>
    </tableStyle>
    <tableStyle name="Mont. Equip. Elet.-style 11" pivot="0" count="4">
      <tableStyleElement type="headerRow" dxfId="231"/>
      <tableStyleElement type="totalRow" dxfId="228"/>
      <tableStyleElement type="firstRowStripe" dxfId="230"/>
      <tableStyleElement type="secondRowStripe" dxfId="229"/>
    </tableStyle>
    <tableStyle name="Mont. Equip. Elet.-style 12" pivot="0" count="4">
      <tableStyleElement type="headerRow" dxfId="227"/>
      <tableStyleElement type="totalRow" dxfId="224"/>
      <tableStyleElement type="firstRowStripe" dxfId="226"/>
      <tableStyleElement type="secondRowStripe" dxfId="225"/>
    </tableStyle>
    <tableStyle name="Mont. Equip. Elet.-style 13" pivot="0" count="4">
      <tableStyleElement type="headerRow" dxfId="223"/>
      <tableStyleElement type="totalRow" dxfId="220"/>
      <tableStyleElement type="firstRowStripe" dxfId="222"/>
      <tableStyleElement type="secondRowStripe" dxfId="221"/>
    </tableStyle>
    <tableStyle name="Mont. Equip. Elet.-style 14" pivot="0" count="4">
      <tableStyleElement type="headerRow" dxfId="219"/>
      <tableStyleElement type="totalRow" dxfId="216"/>
      <tableStyleElement type="firstRowStripe" dxfId="218"/>
      <tableStyleElement type="secondRowStripe" dxfId="217"/>
    </tableStyle>
    <tableStyle name="Jardineiro-style" pivot="0" count="4">
      <tableStyleElement type="headerRow" dxfId="215"/>
      <tableStyleElement type="totalRow" dxfId="212"/>
      <tableStyleElement type="firstRowStripe" dxfId="214"/>
      <tableStyleElement type="secondRowStripe" dxfId="213"/>
    </tableStyle>
    <tableStyle name="Jardineiro-style 2" pivot="0" count="4">
      <tableStyleElement type="headerRow" dxfId="211"/>
      <tableStyleElement type="totalRow" dxfId="208"/>
      <tableStyleElement type="firstRowStripe" dxfId="210"/>
      <tableStyleElement type="secondRowStripe" dxfId="209"/>
    </tableStyle>
    <tableStyle name="Jardineiro-style 3" pivot="0" count="4">
      <tableStyleElement type="headerRow" dxfId="207"/>
      <tableStyleElement type="totalRow" dxfId="204"/>
      <tableStyleElement type="firstRowStripe" dxfId="206"/>
      <tableStyleElement type="secondRowStripe" dxfId="205"/>
    </tableStyle>
    <tableStyle name="Jardineiro-style 4" pivot="0" count="3">
      <tableStyleElement type="headerRow" dxfId="203"/>
      <tableStyleElement type="firstRowStripe" dxfId="202"/>
      <tableStyleElement type="secondRowStripe" dxfId="201"/>
    </tableStyle>
    <tableStyle name="Jardineiro-style 5" pivot="0" count="3">
      <tableStyleElement type="headerRow" dxfId="200"/>
      <tableStyleElement type="firstRowStripe" dxfId="199"/>
      <tableStyleElement type="secondRowStripe" dxfId="198"/>
    </tableStyle>
    <tableStyle name="Jardineiro-style 6" pivot="0" count="4">
      <tableStyleElement type="headerRow" dxfId="197"/>
      <tableStyleElement type="totalRow" dxfId="194"/>
      <tableStyleElement type="firstRowStripe" dxfId="196"/>
      <tableStyleElement type="secondRowStripe" dxfId="195"/>
    </tableStyle>
    <tableStyle name="Jardineiro-style 7" pivot="0" count="4">
      <tableStyleElement type="headerRow" dxfId="193"/>
      <tableStyleElement type="totalRow" dxfId="190"/>
      <tableStyleElement type="firstRowStripe" dxfId="192"/>
      <tableStyleElement type="secondRowStripe" dxfId="191"/>
    </tableStyle>
    <tableStyle name="Jardineiro-style 8" pivot="0" count="4">
      <tableStyleElement type="headerRow" dxfId="189"/>
      <tableStyleElement type="totalRow" dxfId="186"/>
      <tableStyleElement type="firstRowStripe" dxfId="188"/>
      <tableStyleElement type="secondRowStripe" dxfId="187"/>
    </tableStyle>
    <tableStyle name="Jardineiro-style 9" pivot="0" count="4">
      <tableStyleElement type="headerRow" dxfId="185"/>
      <tableStyleElement type="totalRow" dxfId="182"/>
      <tableStyleElement type="firstRowStripe" dxfId="184"/>
      <tableStyleElement type="secondRowStripe" dxfId="183"/>
    </tableStyle>
    <tableStyle name="Jardineiro-style 10" pivot="0" count="4">
      <tableStyleElement type="headerRow" dxfId="181"/>
      <tableStyleElement type="totalRow" dxfId="178"/>
      <tableStyleElement type="firstRowStripe" dxfId="180"/>
      <tableStyleElement type="secondRowStripe" dxfId="179"/>
    </tableStyle>
    <tableStyle name="Jardineiro-style 11" pivot="0" count="4">
      <tableStyleElement type="headerRow" dxfId="177"/>
      <tableStyleElement type="totalRow" dxfId="174"/>
      <tableStyleElement type="firstRowStripe" dxfId="176"/>
      <tableStyleElement type="secondRowStripe" dxfId="175"/>
    </tableStyle>
    <tableStyle name="Jardineiro-style 12" pivot="0" count="4">
      <tableStyleElement type="headerRow" dxfId="173"/>
      <tableStyleElement type="totalRow" dxfId="170"/>
      <tableStyleElement type="firstRowStripe" dxfId="172"/>
      <tableStyleElement type="secondRowStripe" dxfId="171"/>
    </tableStyle>
    <tableStyle name="Jardineiro-style 13" pivot="0" count="4">
      <tableStyleElement type="headerRow" dxfId="169"/>
      <tableStyleElement type="totalRow" dxfId="166"/>
      <tableStyleElement type="firstRowStripe" dxfId="168"/>
      <tableStyleElement type="secondRowStripe" dxfId="167"/>
    </tableStyle>
    <tableStyle name="Jardineiro-style 14" pivot="0" count="4">
      <tableStyleElement type="headerRow" dxfId="165"/>
      <tableStyleElement type="totalRow" dxfId="162"/>
      <tableStyleElement type="firstRowStripe" dxfId="164"/>
      <tableStyleElement type="secondRowStripe" dxfId="163"/>
    </tableStyle>
    <tableStyle name="Manut. Predial-style" pivot="0" count="4">
      <tableStyleElement type="headerRow" dxfId="161"/>
      <tableStyleElement type="totalRow" dxfId="158"/>
      <tableStyleElement type="firstRowStripe" dxfId="160"/>
      <tableStyleElement type="secondRowStripe" dxfId="159"/>
    </tableStyle>
    <tableStyle name="Manut. Predial-style 2" pivot="0" count="4">
      <tableStyleElement type="headerRow" dxfId="157"/>
      <tableStyleElement type="totalRow" dxfId="154"/>
      <tableStyleElement type="firstRowStripe" dxfId="156"/>
      <tableStyleElement type="secondRowStripe" dxfId="155"/>
    </tableStyle>
    <tableStyle name="Manut. Predial-style 3" pivot="0" count="4">
      <tableStyleElement type="headerRow" dxfId="153"/>
      <tableStyleElement type="totalRow" dxfId="150"/>
      <tableStyleElement type="firstRowStripe" dxfId="152"/>
      <tableStyleElement type="secondRowStripe" dxfId="151"/>
    </tableStyle>
    <tableStyle name="Manut. Predial-style 4" pivot="0" count="4">
      <tableStyleElement type="headerRow" dxfId="149"/>
      <tableStyleElement type="totalRow" dxfId="146"/>
      <tableStyleElement type="firstRowStripe" dxfId="148"/>
      <tableStyleElement type="secondRowStripe" dxfId="147"/>
    </tableStyle>
    <tableStyle name="Manut. Predial-style 5" pivot="0" count="4">
      <tableStyleElement type="headerRow" dxfId="145"/>
      <tableStyleElement type="totalRow" dxfId="142"/>
      <tableStyleElement type="firstRowStripe" dxfId="144"/>
      <tableStyleElement type="secondRowStripe" dxfId="143"/>
    </tableStyle>
    <tableStyle name="Manut. Predial-style 6" pivot="0" count="4">
      <tableStyleElement type="headerRow" dxfId="141"/>
      <tableStyleElement type="totalRow" dxfId="138"/>
      <tableStyleElement type="firstRowStripe" dxfId="140"/>
      <tableStyleElement type="secondRowStripe" dxfId="139"/>
    </tableStyle>
    <tableStyle name="Manut. Predial-style 7" pivot="0" count="3">
      <tableStyleElement type="headerRow" dxfId="137"/>
      <tableStyleElement type="firstRowStripe" dxfId="136"/>
      <tableStyleElement type="secondRowStripe" dxfId="135"/>
    </tableStyle>
    <tableStyle name="Manut. Predial-style 8" pivot="0" count="4">
      <tableStyleElement type="headerRow" dxfId="134"/>
      <tableStyleElement type="totalRow" dxfId="131"/>
      <tableStyleElement type="firstRowStripe" dxfId="133"/>
      <tableStyleElement type="secondRowStripe" dxfId="132"/>
    </tableStyle>
    <tableStyle name="Manut. Predial-style 9" pivot="0" count="4">
      <tableStyleElement type="headerRow" dxfId="130"/>
      <tableStyleElement type="totalRow" dxfId="127"/>
      <tableStyleElement type="firstRowStripe" dxfId="129"/>
      <tableStyleElement type="secondRowStripe" dxfId="128"/>
    </tableStyle>
    <tableStyle name="Manut. Predial-style 10" pivot="0" count="4">
      <tableStyleElement type="headerRow" dxfId="126"/>
      <tableStyleElement type="totalRow" dxfId="123"/>
      <tableStyleElement type="firstRowStripe" dxfId="125"/>
      <tableStyleElement type="secondRowStripe" dxfId="124"/>
    </tableStyle>
    <tableStyle name="Manut. Predial-style 11" pivot="0" count="3">
      <tableStyleElement type="headerRow" dxfId="122"/>
      <tableStyleElement type="firstRowStripe" dxfId="121"/>
      <tableStyleElement type="secondRowStripe" dxfId="120"/>
    </tableStyle>
    <tableStyle name="Manut. Predial-style 12" pivot="0" count="4">
      <tableStyleElement type="headerRow" dxfId="119"/>
      <tableStyleElement type="totalRow" dxfId="116"/>
      <tableStyleElement type="firstRowStripe" dxfId="118"/>
      <tableStyleElement type="secondRowStripe" dxfId="117"/>
    </tableStyle>
    <tableStyle name="Manut. Predial-style 13" pivot="0" count="4">
      <tableStyleElement type="headerRow" dxfId="115"/>
      <tableStyleElement type="totalRow" dxfId="112"/>
      <tableStyleElement type="firstRowStripe" dxfId="114"/>
      <tableStyleElement type="secondRowStripe" dxfId="113"/>
    </tableStyle>
    <tableStyle name="Manut. Predial-style 14" pivot="0" count="4">
      <tableStyleElement type="headerRow" dxfId="111"/>
      <tableStyleElement type="totalRow" dxfId="108"/>
      <tableStyleElement type="firstRowStripe" dxfId="110"/>
      <tableStyleElement type="secondRowStripe" dxfId="109"/>
    </tableStyle>
    <tableStyle name="Eletricista-style" pivot="0" count="4">
      <tableStyleElement type="headerRow" dxfId="107"/>
      <tableStyleElement type="totalRow" dxfId="104"/>
      <tableStyleElement type="firstRowStripe" dxfId="106"/>
      <tableStyleElement type="secondRowStripe" dxfId="105"/>
    </tableStyle>
    <tableStyle name="Eletricista-style 2" pivot="0" count="4">
      <tableStyleElement type="headerRow" dxfId="103"/>
      <tableStyleElement type="totalRow" dxfId="100"/>
      <tableStyleElement type="firstRowStripe" dxfId="102"/>
      <tableStyleElement type="secondRowStripe" dxfId="101"/>
    </tableStyle>
    <tableStyle name="Eletricista-style 3" pivot="0" count="4">
      <tableStyleElement type="headerRow" dxfId="99"/>
      <tableStyleElement type="totalRow" dxfId="96"/>
      <tableStyleElement type="firstRowStripe" dxfId="98"/>
      <tableStyleElement type="secondRowStripe" dxfId="97"/>
    </tableStyle>
    <tableStyle name="Eletricista-style 4" pivot="0" count="4">
      <tableStyleElement type="headerRow" dxfId="95"/>
      <tableStyleElement type="totalRow" dxfId="92"/>
      <tableStyleElement type="firstRowStripe" dxfId="94"/>
      <tableStyleElement type="secondRowStripe" dxfId="93"/>
    </tableStyle>
    <tableStyle name="Eletricista-style 5" pivot="0" count="4">
      <tableStyleElement type="headerRow" dxfId="91"/>
      <tableStyleElement type="totalRow" dxfId="88"/>
      <tableStyleElement type="firstRowStripe" dxfId="90"/>
      <tableStyleElement type="secondRowStripe" dxfId="89"/>
    </tableStyle>
    <tableStyle name="Eletricista-style 6" pivot="0" count="4">
      <tableStyleElement type="headerRow" dxfId="87"/>
      <tableStyleElement type="totalRow" dxfId="84"/>
      <tableStyleElement type="firstRowStripe" dxfId="86"/>
      <tableStyleElement type="secondRowStripe" dxfId="85"/>
    </tableStyle>
    <tableStyle name="Eletricista-style 7" pivot="0" count="3">
      <tableStyleElement type="headerRow" dxfId="83"/>
      <tableStyleElement type="firstRowStripe" dxfId="82"/>
      <tableStyleElement type="secondRowStripe" dxfId="81"/>
    </tableStyle>
    <tableStyle name="Eletricista-style 8" pivot="0" count="3">
      <tableStyleElement type="headerRow" dxfId="80"/>
      <tableStyleElement type="firstRowStripe" dxfId="79"/>
      <tableStyleElement type="secondRowStripe" dxfId="78"/>
    </tableStyle>
    <tableStyle name="Eletricista-style 9" pivot="0" count="4">
      <tableStyleElement type="headerRow" dxfId="77"/>
      <tableStyleElement type="totalRow" dxfId="74"/>
      <tableStyleElement type="firstRowStripe" dxfId="76"/>
      <tableStyleElement type="secondRowStripe" dxfId="75"/>
    </tableStyle>
    <tableStyle name="Eletricista-style 10" pivot="0" count="4">
      <tableStyleElement type="headerRow" dxfId="73"/>
      <tableStyleElement type="totalRow" dxfId="70"/>
      <tableStyleElement type="firstRowStripe" dxfId="72"/>
      <tableStyleElement type="secondRowStripe" dxfId="71"/>
    </tableStyle>
    <tableStyle name="Eletricista-style 11" pivot="0" count="4">
      <tableStyleElement type="headerRow" dxfId="69"/>
      <tableStyleElement type="totalRow" dxfId="66"/>
      <tableStyleElement type="firstRowStripe" dxfId="68"/>
      <tableStyleElement type="secondRowStripe" dxfId="67"/>
    </tableStyle>
    <tableStyle name="Eletricista-style 12" pivot="0" count="4">
      <tableStyleElement type="headerRow" dxfId="65"/>
      <tableStyleElement type="totalRow" dxfId="62"/>
      <tableStyleElement type="firstRowStripe" dxfId="64"/>
      <tableStyleElement type="secondRowStripe" dxfId="63"/>
    </tableStyle>
    <tableStyle name="Eletricista-style 13" pivot="0" count="4">
      <tableStyleElement type="headerRow" dxfId="61"/>
      <tableStyleElement type="totalRow" dxfId="58"/>
      <tableStyleElement type="firstRowStripe" dxfId="60"/>
      <tableStyleElement type="secondRowStripe" dxfId="59"/>
    </tableStyle>
    <tableStyle name="Eletricista-style 14" pivot="0" count="4">
      <tableStyleElement type="headerRow" dxfId="57"/>
      <tableStyleElement type="totalRow" dxfId="54"/>
      <tableStyleElement type="firstRowStripe" dxfId="56"/>
      <tableStyleElement type="secondRowStripe" dxfId="55"/>
    </tableStyle>
    <tableStyle name="THB-style" pivot="0" count="4">
      <tableStyleElement type="headerRow" dxfId="53"/>
      <tableStyleElement type="totalRow" dxfId="50"/>
      <tableStyleElement type="firstRowStripe" dxfId="52"/>
      <tableStyleElement type="secondRowStripe" dxfId="51"/>
    </tableStyle>
    <tableStyle name="THB-style 2" pivot="0" count="4">
      <tableStyleElement type="headerRow" dxfId="49"/>
      <tableStyleElement type="totalRow" dxfId="46"/>
      <tableStyleElement type="firstRowStripe" dxfId="48"/>
      <tableStyleElement type="secondRowStripe" dxfId="47"/>
    </tableStyle>
    <tableStyle name="THB-style 3" pivot="0" count="4">
      <tableStyleElement type="headerRow" dxfId="45"/>
      <tableStyleElement type="totalRow" dxfId="42"/>
      <tableStyleElement type="firstRowStripe" dxfId="44"/>
      <tableStyleElement type="secondRowStripe" dxfId="43"/>
    </tableStyle>
    <tableStyle name="THB-style 4" pivot="0" count="4">
      <tableStyleElement type="headerRow" dxfId="41"/>
      <tableStyleElement type="totalRow" dxfId="38"/>
      <tableStyleElement type="firstRowStripe" dxfId="40"/>
      <tableStyleElement type="secondRowStripe" dxfId="39"/>
    </tableStyle>
    <tableStyle name="THB-style 5" pivot="0" count="3">
      <tableStyleElement type="headerRow" dxfId="37"/>
      <tableStyleElement type="firstRowStripe" dxfId="36"/>
      <tableStyleElement type="secondRowStripe" dxfId="35"/>
    </tableStyle>
    <tableStyle name="THB-style 6" pivot="0" count="3">
      <tableStyleElement type="headerRow" dxfId="34"/>
      <tableStyleElement type="firstRowStripe" dxfId="33"/>
      <tableStyleElement type="secondRowStripe" dxfId="32"/>
    </tableStyle>
    <tableStyle name="THB-style 7" pivot="0" count="4">
      <tableStyleElement type="headerRow" dxfId="31"/>
      <tableStyleElement type="totalRow" dxfId="28"/>
      <tableStyleElement type="firstRowStripe" dxfId="30"/>
      <tableStyleElement type="secondRowStripe" dxfId="29"/>
    </tableStyle>
    <tableStyle name="THB-style 8" pivot="0" count="4">
      <tableStyleElement type="headerRow" dxfId="27"/>
      <tableStyleElement type="totalRow" dxfId="24"/>
      <tableStyleElement type="firstRowStripe" dxfId="26"/>
      <tableStyleElement type="secondRowStripe" dxfId="25"/>
    </tableStyle>
    <tableStyle name="THB-style 9" pivot="0" count="4">
      <tableStyleElement type="headerRow" dxfId="23"/>
      <tableStyleElement type="totalRow" dxfId="20"/>
      <tableStyleElement type="firstRowStripe" dxfId="22"/>
      <tableStyleElement type="secondRowStripe" dxfId="21"/>
    </tableStyle>
    <tableStyle name="THB-style 10" pivot="0" count="4">
      <tableStyleElement type="headerRow" dxfId="19"/>
      <tableStyleElement type="totalRow" dxfId="16"/>
      <tableStyleElement type="firstRowStripe" dxfId="18"/>
      <tableStyleElement type="secondRowStripe" dxfId="17"/>
    </tableStyle>
    <tableStyle name="THB-style 11" pivot="0" count="4">
      <tableStyleElement type="headerRow" dxfId="15"/>
      <tableStyleElement type="totalRow" dxfId="12"/>
      <tableStyleElement type="firstRowStripe" dxfId="14"/>
      <tableStyleElement type="secondRowStripe" dxfId="13"/>
    </tableStyle>
    <tableStyle name="THB-style 12" pivot="0" count="4">
      <tableStyleElement type="headerRow" dxfId="11"/>
      <tableStyleElement type="totalRow" dxfId="8"/>
      <tableStyleElement type="firstRowStripe" dxfId="10"/>
      <tableStyleElement type="secondRowStripe" dxfId="9"/>
    </tableStyle>
    <tableStyle name="THB-style 13" pivot="0" count="4">
      <tableStyleElement type="headerRow" dxfId="7"/>
      <tableStyleElement type="totalRow" dxfId="4"/>
      <tableStyleElement type="firstRowStripe" dxfId="6"/>
      <tableStyleElement type="secondRowStripe" dxfId="5"/>
    </tableStyle>
    <tableStyle name="THB-style 14" pivot="0" count="4">
      <tableStyleElement type="headerRow" dxfId="3"/>
      <tableStyleElement type="totalRow" dxfId="0"/>
      <tableStyleElement type="firstRowStripe" dxfId="2"/>
      <tableStyleElement type="secondRowStripe" dxfId="1"/>
    </tableStyle>
  </tableStyles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10.xml.rels><?xml version="1.0" encoding="UTF-8" standalone="yes"?>
<Relationships xmlns="http://schemas.openxmlformats.org/package/2006/relationships"><Relationship Id="rId1" Type="http://customschemas.google.com/relationships/workbookmetadata" Target="commentsmeta10"/></Relationships>
</file>

<file path=xl/_rels/comments11.xml.rels><?xml version="1.0" encoding="UTF-8" standalone="yes"?>
<Relationships xmlns="http://schemas.openxmlformats.org/package/2006/relationships"><Relationship Id="rId1" Type="http://customschemas.google.com/relationships/workbookmetadata" Target="commentsmeta11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4"/></Relationships>
</file>

<file path=xl/_rels/comments5.xml.rels><?xml version="1.0" encoding="UTF-8" standalone="yes"?>
<Relationships xmlns="http://schemas.openxmlformats.org/package/2006/relationships"><Relationship Id="rId1" Type="http://customschemas.google.com/relationships/workbookmetadata" Target="commentsmeta5"/></Relationships>
</file>

<file path=xl/_rels/comments6.xml.rels><?xml version="1.0" encoding="UTF-8" standalone="yes"?>
<Relationships xmlns="http://schemas.openxmlformats.org/package/2006/relationships"><Relationship Id="rId1" Type="http://customschemas.google.com/relationships/workbookmetadata" Target="commentsmeta6"/></Relationships>
</file>

<file path=xl/_rels/comments7.xml.rels><?xml version="1.0" encoding="UTF-8" standalone="yes"?>
<Relationships xmlns="http://schemas.openxmlformats.org/package/2006/relationships"><Relationship Id="rId1" Type="http://customschemas.google.com/relationships/workbookmetadata" Target="commentsmeta7"/></Relationships>
</file>

<file path=xl/_rels/comments8.xml.rels><?xml version="1.0" encoding="UTF-8" standalone="yes"?>
<Relationships xmlns="http://schemas.openxmlformats.org/package/2006/relationships"><Relationship Id="rId1" Type="http://customschemas.google.com/relationships/workbookmetadata" Target="commentsmeta8"/></Relationships>
</file>

<file path=xl/_rels/comments9.xml.rels><?xml version="1.0" encoding="UTF-8" standalone="yes"?>
<Relationships xmlns="http://schemas.openxmlformats.org/package/2006/relationships"><Relationship Id="rId1" Type="http://customschemas.google.com/relationships/workbookmetadata" Target="commentsmeta9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4" name="Table_24" displayName="Table_24" ref="A48:D54">
  <tableColumns count="4">
    <tableColumn id="1" name="2.3"/>
    <tableColumn id="2" name="Benefícios Mensais e Diários"/>
    <tableColumn id="3" name="Comentário"/>
    <tableColumn id="4" name="Valor"/>
  </tableColumns>
  <tableStyleInfo name="Encarregado-style" showFirstColumn="1" showLastColumn="1" showRowStripes="1" showColumnStripes="0"/>
</table>
</file>

<file path=xl/tables/table10.xml><?xml version="1.0" encoding="utf-8"?>
<table xmlns="http://schemas.openxmlformats.org/spreadsheetml/2006/main" id="33" name="Table_33" displayName="Table_33" ref="A89:D96">
  <tableColumns count="4">
    <tableColumn id="1" name="4.1"/>
    <tableColumn id="2" name="Substituto nas Ausências Legais"/>
    <tableColumn id="3" name="Dias de ausência"/>
    <tableColumn id="4" name="Valor"/>
  </tableColumns>
  <tableStyleInfo name="Encarregado-style 10" showFirstColumn="1" showLastColumn="1" showRowStripes="1" showColumnStripes="0"/>
</table>
</file>

<file path=xl/tables/table100.xml><?xml version="1.0" encoding="utf-8"?>
<table xmlns="http://schemas.openxmlformats.org/spreadsheetml/2006/main" id="123" name="Table_123" displayName="Table_123" ref="A10:D17">
  <tableColumns count="4">
    <tableColumn id="1" name="1"/>
    <tableColumn id="2" name="Composição da Remuneração"/>
    <tableColumn id="3" name="Comentário"/>
    <tableColumn id="4" name="Valor"/>
  </tableColumns>
  <tableStyleInfo name="Mont. Equip. Elet.-style 7" showFirstColumn="1" showLastColumn="1" showRowStripes="1" showColumnStripes="0"/>
</table>
</file>

<file path=xl/tables/table101.xml><?xml version="1.0" encoding="utf-8"?>
<table xmlns="http://schemas.openxmlformats.org/spreadsheetml/2006/main" id="124" name="Table_124" displayName="Table_124" ref="A59:D66">
  <tableColumns count="4">
    <tableColumn id="1" name="3"/>
    <tableColumn id="2" name="Provisão para Rescisão"/>
    <tableColumn id="3" name="Comentário"/>
    <tableColumn id="4" name="Valor"/>
  </tableColumns>
  <tableStyleInfo name="Mont. Equip. Elet.-style 8" showFirstColumn="1" showLastColumn="1" showRowStripes="1" showColumnStripes="0"/>
</table>
</file>

<file path=xl/tables/table102.xml><?xml version="1.0" encoding="utf-8"?>
<table xmlns="http://schemas.openxmlformats.org/spreadsheetml/2006/main" id="125" name="Table_125" displayName="Table_125" ref="A43:D49">
  <tableColumns count="4">
    <tableColumn id="1" name="2.3"/>
    <tableColumn id="2" name="Benefícios Mensais e Diários"/>
    <tableColumn id="3" name="Comentário"/>
    <tableColumn id="4" name="Valor"/>
  </tableColumns>
  <tableStyleInfo name="Mont. Equip. Elet.-style 9" showFirstColumn="1" showLastColumn="1" showRowStripes="1" showColumnStripes="0"/>
</table>
</file>

<file path=xl/tables/table103.xml><?xml version="1.0" encoding="utf-8"?>
<table xmlns="http://schemas.openxmlformats.org/spreadsheetml/2006/main" id="126" name="Table_126" displayName="Table_126" ref="A52:D56">
  <tableColumns count="4">
    <tableColumn id="1" name="2"/>
    <tableColumn id="2" name="Encargos e Benefícios Anuais, Mensais e Diários"/>
    <tableColumn id="3" name="Comentário"/>
    <tableColumn id="4" name="Valor"/>
  </tableColumns>
  <tableStyleInfo name="Mont. Equip. Elet.-style 10" showFirstColumn="1" showLastColumn="1" showRowStripes="1" showColumnStripes="0"/>
</table>
</file>

<file path=xl/tables/table104.xml><?xml version="1.0" encoding="utf-8"?>
<table xmlns="http://schemas.openxmlformats.org/spreadsheetml/2006/main" id="127" name="Table_127" displayName="Table_127" ref="A111:D118">
  <tableColumns count="4">
    <tableColumn id="1" name="6"/>
    <tableColumn id="2" name="Custos Indiretos, Tributos e Lucro"/>
    <tableColumn id="3" name="Percentual"/>
    <tableColumn id="4" name="Valor"/>
  </tableColumns>
  <tableStyleInfo name="Mont. Equip. Elet.-style 11" showFirstColumn="1" showLastColumn="1" showRowStripes="1" showColumnStripes="0"/>
</table>
</file>

<file path=xl/tables/table105.xml><?xml version="1.0" encoding="utf-8"?>
<table xmlns="http://schemas.openxmlformats.org/spreadsheetml/2006/main" id="128" name="Table_128" displayName="Table_128" ref="A75:D82">
  <tableColumns count="4">
    <tableColumn id="1" name="4.1"/>
    <tableColumn id="2" name="Substituto nas Ausências Legais"/>
    <tableColumn id="3" name="Dias de ausência"/>
    <tableColumn id="4" name="Valor"/>
  </tableColumns>
  <tableStyleInfo name="Mont. Equip. Elet.-style 12" showFirstColumn="1" showLastColumn="1" showRowStripes="1" showColumnStripes="0"/>
</table>
</file>

<file path=xl/tables/table106.xml><?xml version="1.0" encoding="utf-8"?>
<table xmlns="http://schemas.openxmlformats.org/spreadsheetml/2006/main" id="129" name="Table_129" displayName="Table_129" ref="A121:D129">
  <tableColumns count="4">
    <tableColumn id="1" name="Item"/>
    <tableColumn id="2" name="Mão de obra vinculada à execução contratual"/>
    <tableColumn id="3" name="-"/>
    <tableColumn id="4" name="Valor"/>
  </tableColumns>
  <tableStyleInfo name="Mont. Equip. Elet.-style 13" showFirstColumn="1" showLastColumn="1" showRowStripes="1" showColumnStripes="0"/>
</table>
</file>

<file path=xl/tables/table107.xml><?xml version="1.0" encoding="utf-8"?>
<table xmlns="http://schemas.openxmlformats.org/spreadsheetml/2006/main" id="130" name="Table_130" displayName="Table_130" ref="A31:D40">
  <tableColumns count="4">
    <tableColumn id="1" name="2.2"/>
    <tableColumn id="2" name="GPS, FGTS e outras contribuições"/>
    <tableColumn id="3" name="Percentual"/>
    <tableColumn id="4" name="Valor "/>
  </tableColumns>
  <tableStyleInfo name="Mont. Equip. Elet.-style 14" showFirstColumn="1" showLastColumn="1" showRowStripes="1" showColumnStripes="0"/>
</table>
</file>

<file path=xl/tables/table108.xml><?xml version="1.0" encoding="utf-8"?>
<table xmlns="http://schemas.openxmlformats.org/spreadsheetml/2006/main" id="131" name="Table_131" displayName="Table_131" ref="A31:D40">
  <tableColumns count="4">
    <tableColumn id="1" name="2.2"/>
    <tableColumn id="2" name="GPS, FGTS e outras contribuições"/>
    <tableColumn id="3" name="Percentual"/>
    <tableColumn id="4" name="Valor "/>
  </tableColumns>
  <tableStyleInfo name="Jardineiro-style" showFirstColumn="1" showLastColumn="1" showRowStripes="1" showColumnStripes="0"/>
</table>
</file>

<file path=xl/tables/table109.xml><?xml version="1.0" encoding="utf-8"?>
<table xmlns="http://schemas.openxmlformats.org/spreadsheetml/2006/main" id="132" name="Table_132" displayName="Table_132" ref="A10:D17">
  <tableColumns count="4">
    <tableColumn id="1" name="1"/>
    <tableColumn id="2" name="Composição da Remuneração"/>
    <tableColumn id="3" name="Comentário"/>
    <tableColumn id="4" name="Valor"/>
  </tableColumns>
  <tableStyleInfo name="Jardineiro-style 2" showFirstColumn="1" showLastColumn="1" showRowStripes="1" showColumnStripes="0"/>
</table>
</file>

<file path=xl/tables/table11.xml><?xml version="1.0" encoding="utf-8"?>
<table xmlns="http://schemas.openxmlformats.org/spreadsheetml/2006/main" id="34" name="Table_34" displayName="Table_34" ref="A99:D102">
  <tableColumns count="4">
    <tableColumn id="1" name="Item"/>
    <tableColumn id="2" name="Rubrica"/>
    <tableColumn id="3" name="Base de Cálculo"/>
    <tableColumn id="4" name="Memória de Cálculo"/>
  </tableColumns>
  <tableStyleInfo name="Encarregado-style 11" showFirstColumn="1" showLastColumn="1" showRowStripes="1" showColumnStripes="0"/>
</table>
</file>

<file path=xl/tables/table110.xml><?xml version="1.0" encoding="utf-8"?>
<table xmlns="http://schemas.openxmlformats.org/spreadsheetml/2006/main" id="133" name="Table_133" displayName="Table_133" ref="A21:D24">
  <tableColumns count="4">
    <tableColumn id="1" name="2.1"/>
    <tableColumn id="2" name="13º (décimo terceiro) Salário e Adicional de Férias"/>
    <tableColumn id="3" name="Comentário"/>
    <tableColumn id="4" name="Valor"/>
  </tableColumns>
  <tableStyleInfo name="Jardineiro-style 3" showFirstColumn="1" showLastColumn="1" showRowStripes="1" showColumnStripes="0"/>
</table>
</file>

<file path=xl/tables/table111.xml><?xml version="1.0" encoding="utf-8"?>
<table xmlns="http://schemas.openxmlformats.org/spreadsheetml/2006/main" id="134" name="Table_134" displayName="Table_134" ref="A2:D7">
  <tableColumns count="4">
    <tableColumn id="1" name="Item"/>
    <tableColumn id="2" name="Descrição"/>
    <tableColumn id="3" name="Comentário"/>
    <tableColumn id="4" name="Valor"/>
  </tableColumns>
  <tableStyleInfo name="Jardineiro-style 4" showFirstColumn="1" showLastColumn="1" showRowStripes="1" showColumnStripes="0"/>
</table>
</file>

<file path=xl/tables/table112.xml><?xml version="1.0" encoding="utf-8"?>
<table xmlns="http://schemas.openxmlformats.org/spreadsheetml/2006/main" id="135" name="Table_135" displayName="Table_135" ref="F2:G7">
  <tableColumns count="2">
    <tableColumn id="1" name="Descrição"/>
    <tableColumn id="2" name="Valor"/>
  </tableColumns>
  <tableStyleInfo name="Jardineiro-style 5" showFirstColumn="1" showLastColumn="1" showRowStripes="1" showColumnStripes="0"/>
</table>
</file>

<file path=xl/tables/table113.xml><?xml version="1.0" encoding="utf-8"?>
<table xmlns="http://schemas.openxmlformats.org/spreadsheetml/2006/main" id="136" name="Table_136" displayName="Table_136" ref="A111:D118">
  <tableColumns count="4">
    <tableColumn id="1" name="6"/>
    <tableColumn id="2" name="Custos Indiretos, Tributos e Lucro"/>
    <tableColumn id="3" name="Percentual"/>
    <tableColumn id="4" name="Valor"/>
  </tableColumns>
  <tableStyleInfo name="Jardineiro-style 6" showFirstColumn="1" showLastColumn="1" showRowStripes="1" showColumnStripes="0"/>
</table>
</file>

<file path=xl/tables/table114.xml><?xml version="1.0" encoding="utf-8"?>
<table xmlns="http://schemas.openxmlformats.org/spreadsheetml/2006/main" id="137" name="Table_137" displayName="Table_137" ref="A121:D129">
  <tableColumns count="4">
    <tableColumn id="1" name="Item"/>
    <tableColumn id="2" name="Mão de obra vinculada à execução contratual"/>
    <tableColumn id="3" name="-"/>
    <tableColumn id="4" name="Valor"/>
  </tableColumns>
  <tableStyleInfo name="Jardineiro-style 7" showFirstColumn="1" showLastColumn="1" showRowStripes="1" showColumnStripes="0"/>
</table>
</file>

<file path=xl/tables/table115.xml><?xml version="1.0" encoding="utf-8"?>
<table xmlns="http://schemas.openxmlformats.org/spreadsheetml/2006/main" id="138" name="Table_138" displayName="Table_138" ref="A43:D49">
  <tableColumns count="4">
    <tableColumn id="1" name="2.3"/>
    <tableColumn id="2" name="Benefícios Mensais e Diários"/>
    <tableColumn id="3" name="Comentário"/>
    <tableColumn id="4" name="Valor"/>
  </tableColumns>
  <tableStyleInfo name="Jardineiro-style 8" showFirstColumn="1" showLastColumn="1" showRowStripes="1" showColumnStripes="0"/>
</table>
</file>

<file path=xl/tables/table116.xml><?xml version="1.0" encoding="utf-8"?>
<table xmlns="http://schemas.openxmlformats.org/spreadsheetml/2006/main" id="139" name="Table_139" displayName="Table_139" ref="A52:D56">
  <tableColumns count="4">
    <tableColumn id="1" name="2"/>
    <tableColumn id="2" name="Encargos e Benefícios Anuais, Mensais e Diários"/>
    <tableColumn id="3" name="Comentário"/>
    <tableColumn id="4" name="Valor"/>
  </tableColumns>
  <tableStyleInfo name="Jardineiro-style 9" showFirstColumn="1" showLastColumn="1" showRowStripes="1" showColumnStripes="0"/>
</table>
</file>

<file path=xl/tables/table117.xml><?xml version="1.0" encoding="utf-8"?>
<table xmlns="http://schemas.openxmlformats.org/spreadsheetml/2006/main" id="140" name="Table_140" displayName="Table_140" ref="A96:D101">
  <tableColumns count="4">
    <tableColumn id="1" name="5"/>
    <tableColumn id="2" name="Insumos Diversos"/>
    <tableColumn id="3" name="Comentário"/>
    <tableColumn id="4" name="Valor"/>
  </tableColumns>
  <tableStyleInfo name="Jardineiro-style 10" showFirstColumn="1" showLastColumn="1" showRowStripes="1" showColumnStripes="0"/>
</table>
</file>

<file path=xl/tables/table118.xml><?xml version="1.0" encoding="utf-8"?>
<table xmlns="http://schemas.openxmlformats.org/spreadsheetml/2006/main" id="141" name="Table_141" displayName="Table_141" ref="A90:D93">
  <tableColumns count="4">
    <tableColumn id="1" name="4"/>
    <tableColumn id="2" name="Custo de Reposição do Profissional Ausente"/>
    <tableColumn id="3" name="Comentário"/>
    <tableColumn id="4" name="Valor"/>
  </tableColumns>
  <tableStyleInfo name="Jardineiro-style 11" showFirstColumn="1" showLastColumn="1" showRowStripes="1" showColumnStripes="0"/>
</table>
</file>

<file path=xl/tables/table119.xml><?xml version="1.0" encoding="utf-8"?>
<table xmlns="http://schemas.openxmlformats.org/spreadsheetml/2006/main" id="142" name="Table_142" displayName="Table_142" ref="A85:D87">
  <tableColumns count="4">
    <tableColumn id="1" name="4.2"/>
    <tableColumn id="2" name="Substituto na Intrajornada "/>
    <tableColumn id="3" name="Comentário"/>
    <tableColumn id="4" name="Valor"/>
  </tableColumns>
  <tableStyleInfo name="Jardineiro-style 12" showFirstColumn="1" showLastColumn="1" showRowStripes="1" showColumnStripes="0"/>
</table>
</file>

<file path=xl/tables/table12.xml><?xml version="1.0" encoding="utf-8"?>
<table xmlns="http://schemas.openxmlformats.org/spreadsheetml/2006/main" id="35" name="Table_35" displayName="Table_35" ref="A62:D66">
  <tableColumns count="4">
    <tableColumn id="1" name="2"/>
    <tableColumn id="2" name="Encargos e Benefícios Anuais, Mensais e Diários"/>
    <tableColumn id="3" name="Comentário"/>
    <tableColumn id="4" name="Valor"/>
  </tableColumns>
  <tableStyleInfo name="Encarregado-style 12" showFirstColumn="1" showLastColumn="1" showRowStripes="1" showColumnStripes="0"/>
</table>
</file>

<file path=xl/tables/table120.xml><?xml version="1.0" encoding="utf-8"?>
<table xmlns="http://schemas.openxmlformats.org/spreadsheetml/2006/main" id="143" name="Table_143" displayName="Table_143" ref="A75:D82">
  <tableColumns count="4">
    <tableColumn id="1" name="4.1"/>
    <tableColumn id="2" name="Substituto nas Ausências Legais"/>
    <tableColumn id="3" name="Dias de ausência"/>
    <tableColumn id="4" name="Valor"/>
  </tableColumns>
  <tableStyleInfo name="Jardineiro-style 13" showFirstColumn="1" showLastColumn="1" showRowStripes="1" showColumnStripes="0"/>
</table>
</file>

<file path=xl/tables/table121.xml><?xml version="1.0" encoding="utf-8"?>
<table xmlns="http://schemas.openxmlformats.org/spreadsheetml/2006/main" id="144" name="Table_144" displayName="Table_144" ref="A59:D66">
  <tableColumns count="4">
    <tableColumn id="1" name="3"/>
    <tableColumn id="2" name="Provisão para Rescisão"/>
    <tableColumn id="3" name="Comentário"/>
    <tableColumn id="4" name="Valor"/>
  </tableColumns>
  <tableStyleInfo name="Jardineiro-style 14" showFirstColumn="1" showLastColumn="1" showRowStripes="1" showColumnStripes="0"/>
</table>
</file>

<file path=xl/tables/table122.xml><?xml version="1.0" encoding="utf-8"?>
<table xmlns="http://schemas.openxmlformats.org/spreadsheetml/2006/main" id="145" name="Table_145" displayName="Table_145" ref="A43:D49">
  <tableColumns count="4">
    <tableColumn id="1" name="2.3"/>
    <tableColumn id="2" name="Benefícios Mensais e Diários"/>
    <tableColumn id="3" name="Comentário"/>
    <tableColumn id="4" name="Valor"/>
  </tableColumns>
  <tableStyleInfo name="Manut. Predial-style" showFirstColumn="1" showLastColumn="1" showRowStripes="1" showColumnStripes="0"/>
</table>
</file>

<file path=xl/tables/table123.xml><?xml version="1.0" encoding="utf-8"?>
<table xmlns="http://schemas.openxmlformats.org/spreadsheetml/2006/main" id="146" name="Table_146" displayName="Table_146" ref="A31:D40">
  <tableColumns count="4">
    <tableColumn id="1" name="2.2"/>
    <tableColumn id="2" name="GPS, FGTS e outras contribuições"/>
    <tableColumn id="3" name="Percentual"/>
    <tableColumn id="4" name="Valor "/>
  </tableColumns>
  <tableStyleInfo name="Manut. Predial-style 2" showFirstColumn="1" showLastColumn="1" showRowStripes="1" showColumnStripes="0"/>
</table>
</file>

<file path=xl/tables/table124.xml><?xml version="1.0" encoding="utf-8"?>
<table xmlns="http://schemas.openxmlformats.org/spreadsheetml/2006/main" id="147" name="Table_147" displayName="Table_147" ref="A96:D101">
  <tableColumns count="4">
    <tableColumn id="1" name="5"/>
    <tableColumn id="2" name="Insumos Diversos"/>
    <tableColumn id="3" name="Comentário"/>
    <tableColumn id="4" name="Valor"/>
  </tableColumns>
  <tableStyleInfo name="Manut. Predial-style 3" showFirstColumn="1" showLastColumn="1" showRowStripes="1" showColumnStripes="0"/>
</table>
</file>

<file path=xl/tables/table125.xml><?xml version="1.0" encoding="utf-8"?>
<table xmlns="http://schemas.openxmlformats.org/spreadsheetml/2006/main" id="148" name="Table_148" displayName="Table_148" ref="A90:D93">
  <tableColumns count="4">
    <tableColumn id="1" name="4"/>
    <tableColumn id="2" name="Custo de Reposição do Profissional Ausente"/>
    <tableColumn id="3" name="Comentário"/>
    <tableColumn id="4" name="Valor"/>
  </tableColumns>
  <tableStyleInfo name="Manut. Predial-style 4" showFirstColumn="1" showLastColumn="1" showRowStripes="1" showColumnStripes="0"/>
</table>
</file>

<file path=xl/tables/table126.xml><?xml version="1.0" encoding="utf-8"?>
<table xmlns="http://schemas.openxmlformats.org/spreadsheetml/2006/main" id="149" name="Table_149" displayName="Table_149" ref="A10:D17">
  <tableColumns count="4">
    <tableColumn id="1" name="1"/>
    <tableColumn id="2" name="Composição da Remuneração"/>
    <tableColumn id="3" name="Comentário"/>
    <tableColumn id="4" name="Valor"/>
  </tableColumns>
  <tableStyleInfo name="Manut. Predial-style 5" showFirstColumn="1" showLastColumn="1" showRowStripes="1" showColumnStripes="0"/>
</table>
</file>

<file path=xl/tables/table127.xml><?xml version="1.0" encoding="utf-8"?>
<table xmlns="http://schemas.openxmlformats.org/spreadsheetml/2006/main" id="150" name="Table_150" displayName="Table_150" ref="A21:D24">
  <tableColumns count="4">
    <tableColumn id="1" name="2.1"/>
    <tableColumn id="2" name="13º (décimo terceiro) Salário e Adicional de Férias"/>
    <tableColumn id="3" name="Comentário"/>
    <tableColumn id="4" name="Valor"/>
  </tableColumns>
  <tableStyleInfo name="Manut. Predial-style 6" showFirstColumn="1" showLastColumn="1" showRowStripes="1" showColumnStripes="0"/>
</table>
</file>

<file path=xl/tables/table128.xml><?xml version="1.0" encoding="utf-8"?>
<table xmlns="http://schemas.openxmlformats.org/spreadsheetml/2006/main" id="151" name="Table_151" displayName="Table_151" ref="F2:G7">
  <tableColumns count="2">
    <tableColumn id="1" name="Descrição"/>
    <tableColumn id="2" name="Valor"/>
  </tableColumns>
  <tableStyleInfo name="Manut. Predial-style 7" showFirstColumn="1" showLastColumn="1" showRowStripes="1" showColumnStripes="0"/>
</table>
</file>

<file path=xl/tables/table129.xml><?xml version="1.0" encoding="utf-8"?>
<table xmlns="http://schemas.openxmlformats.org/spreadsheetml/2006/main" id="152" name="Table_152" displayName="Table_152" ref="A111:D118">
  <tableColumns count="4">
    <tableColumn id="1" name="6"/>
    <tableColumn id="2" name="Custos Indiretos, Tributos e Lucro"/>
    <tableColumn id="3" name="Percentual"/>
    <tableColumn id="4" name="Valor"/>
  </tableColumns>
  <tableStyleInfo name="Manut. Predial-style 8" showFirstColumn="1" showLastColumn="1" showRowStripes="1" showColumnStripes="0"/>
</table>
</file>

<file path=xl/tables/table13.xml><?xml version="1.0" encoding="utf-8"?>
<table xmlns="http://schemas.openxmlformats.org/spreadsheetml/2006/main" id="36" name="Table_36" displayName="Table_36" ref="A69:D76">
  <tableColumns count="4">
    <tableColumn id="1" name="3"/>
    <tableColumn id="2" name="Provisão para Rescisão"/>
    <tableColumn id="3" name="Comentário"/>
    <tableColumn id="4" name="Valor"/>
  </tableColumns>
  <tableStyleInfo name="Encarregado-style 13" showFirstColumn="1" showLastColumn="1" showRowStripes="1" showColumnStripes="0"/>
</table>
</file>

<file path=xl/tables/table130.xml><?xml version="1.0" encoding="utf-8"?>
<table xmlns="http://schemas.openxmlformats.org/spreadsheetml/2006/main" id="153" name="Table_153" displayName="Table_153" ref="A59:D66">
  <tableColumns count="4">
    <tableColumn id="1" name="3"/>
    <tableColumn id="2" name="Provisão para Rescisão"/>
    <tableColumn id="3" name="Comentário"/>
    <tableColumn id="4" name="Valor"/>
  </tableColumns>
  <tableStyleInfo name="Manut. Predial-style 9" showFirstColumn="1" showLastColumn="1" showRowStripes="1" showColumnStripes="0"/>
</table>
</file>

<file path=xl/tables/table131.xml><?xml version="1.0" encoding="utf-8"?>
<table xmlns="http://schemas.openxmlformats.org/spreadsheetml/2006/main" id="154" name="Table_154" displayName="Table_154" ref="A121:D129">
  <tableColumns count="4">
    <tableColumn id="1" name="Item"/>
    <tableColumn id="2" name="Mão de obra vinculada à execução contratual"/>
    <tableColumn id="3" name="-"/>
    <tableColumn id="4" name="Valor"/>
  </tableColumns>
  <tableStyleInfo name="Manut. Predial-style 10" showFirstColumn="1" showLastColumn="1" showRowStripes="1" showColumnStripes="0"/>
</table>
</file>

<file path=xl/tables/table132.xml><?xml version="1.0" encoding="utf-8"?>
<table xmlns="http://schemas.openxmlformats.org/spreadsheetml/2006/main" id="155" name="Table_155" displayName="Table_155" ref="A2:D7">
  <tableColumns count="4">
    <tableColumn id="1" name="Item"/>
    <tableColumn id="2" name="Descrição"/>
    <tableColumn id="3" name="Comentário"/>
    <tableColumn id="4" name="Valor"/>
  </tableColumns>
  <tableStyleInfo name="Manut. Predial-style 11" showFirstColumn="1" showLastColumn="1" showRowStripes="1" showColumnStripes="0"/>
</table>
</file>

<file path=xl/tables/table133.xml><?xml version="1.0" encoding="utf-8"?>
<table xmlns="http://schemas.openxmlformats.org/spreadsheetml/2006/main" id="156" name="Table_156" displayName="Table_156" ref="A52:D56">
  <tableColumns count="4">
    <tableColumn id="1" name="2"/>
    <tableColumn id="2" name="Encargos e Benefícios Anuais, Mensais e Diários"/>
    <tableColumn id="3" name="Comentário"/>
    <tableColumn id="4" name="Valor"/>
  </tableColumns>
  <tableStyleInfo name="Manut. Predial-style 12" showFirstColumn="1" showLastColumn="1" showRowStripes="1" showColumnStripes="0"/>
</table>
</file>

<file path=xl/tables/table134.xml><?xml version="1.0" encoding="utf-8"?>
<table xmlns="http://schemas.openxmlformats.org/spreadsheetml/2006/main" id="157" name="Table_157" displayName="Table_157" ref="A85:D87">
  <tableColumns count="4">
    <tableColumn id="1" name="4.2"/>
    <tableColumn id="2" name="Substituto na Intrajornada "/>
    <tableColumn id="3" name="Comentário"/>
    <tableColumn id="4" name="Valor"/>
  </tableColumns>
  <tableStyleInfo name="Manut. Predial-style 13" showFirstColumn="1" showLastColumn="1" showRowStripes="1" showColumnStripes="0"/>
</table>
</file>

<file path=xl/tables/table135.xml><?xml version="1.0" encoding="utf-8"?>
<table xmlns="http://schemas.openxmlformats.org/spreadsheetml/2006/main" id="158" name="Table_158" displayName="Table_158" ref="A75:D82">
  <tableColumns count="4">
    <tableColumn id="1" name="4.1"/>
    <tableColumn id="2" name="Substituto nas Ausências Legais"/>
    <tableColumn id="3" name="Dias de ausência"/>
    <tableColumn id="4" name="Valor"/>
  </tableColumns>
  <tableStyleInfo name="Manut. Predial-style 14" showFirstColumn="1" showLastColumn="1" showRowStripes="1" showColumnStripes="0"/>
</table>
</file>

<file path=xl/tables/table136.xml><?xml version="1.0" encoding="utf-8"?>
<table xmlns="http://schemas.openxmlformats.org/spreadsheetml/2006/main" id="159" name="Table_159" displayName="Table_159" ref="A43:D49">
  <tableColumns count="4">
    <tableColumn id="1" name="2.3"/>
    <tableColumn id="2" name="Benefícios Mensais e Diários"/>
    <tableColumn id="3" name="Comentário"/>
    <tableColumn id="4" name="Valor"/>
  </tableColumns>
  <tableStyleInfo name="Eletricista-style" showFirstColumn="1" showLastColumn="1" showRowStripes="1" showColumnStripes="0"/>
</table>
</file>

<file path=xl/tables/table137.xml><?xml version="1.0" encoding="utf-8"?>
<table xmlns="http://schemas.openxmlformats.org/spreadsheetml/2006/main" id="160" name="Table_160" displayName="Table_160" ref="A52:D56">
  <tableColumns count="4">
    <tableColumn id="1" name="2"/>
    <tableColumn id="2" name="Encargos e Benefícios Anuais, Mensais e Diários"/>
    <tableColumn id="3" name="Comentário"/>
    <tableColumn id="4" name="Valor"/>
  </tableColumns>
  <tableStyleInfo name="Eletricista-style 2" showFirstColumn="1" showLastColumn="1" showRowStripes="1" showColumnStripes="0"/>
</table>
</file>

<file path=xl/tables/table138.xml><?xml version="1.0" encoding="utf-8"?>
<table xmlns="http://schemas.openxmlformats.org/spreadsheetml/2006/main" id="161" name="Table_161" displayName="Table_161" ref="A90:D93">
  <tableColumns count="4">
    <tableColumn id="1" name="4"/>
    <tableColumn id="2" name="Custo de Reposição do Profissional Ausente"/>
    <tableColumn id="3" name="Comentário"/>
    <tableColumn id="4" name="Valor"/>
  </tableColumns>
  <tableStyleInfo name="Eletricista-style 3" showFirstColumn="1" showLastColumn="1" showRowStripes="1" showColumnStripes="0"/>
</table>
</file>

<file path=xl/tables/table139.xml><?xml version="1.0" encoding="utf-8"?>
<table xmlns="http://schemas.openxmlformats.org/spreadsheetml/2006/main" id="162" name="Table_162" displayName="Table_162" ref="A96:D101">
  <tableColumns count="4">
    <tableColumn id="1" name="5"/>
    <tableColumn id="2" name="Insumos Diversos"/>
    <tableColumn id="3" name="Comentário"/>
    <tableColumn id="4" name="Valor"/>
  </tableColumns>
  <tableStyleInfo name="Eletricista-style 4" showFirstColumn="1" showLastColumn="1" showRowStripes="1" showColumnStripes="0"/>
</table>
</file>

<file path=xl/tables/table14.xml><?xml version="1.0" encoding="utf-8"?>
<table xmlns="http://schemas.openxmlformats.org/spreadsheetml/2006/main" id="37" name="Table_37" displayName="Table_37" ref="A110:D113">
  <tableColumns count="4">
    <tableColumn id="1" name="4"/>
    <tableColumn id="2" name="Custo de Reposição do Profissional Ausente"/>
    <tableColumn id="3" name="Comentário"/>
    <tableColumn id="4" name="Valor"/>
  </tableColumns>
  <tableStyleInfo name="Encarregado-style 14" showFirstColumn="1" showLastColumn="1" showRowStripes="1" showColumnStripes="0"/>
</table>
</file>

<file path=xl/tables/table140.xml><?xml version="1.0" encoding="utf-8"?>
<table xmlns="http://schemas.openxmlformats.org/spreadsheetml/2006/main" id="163" name="Table_163" displayName="Table_163" ref="A75:D82">
  <tableColumns count="4">
    <tableColumn id="1" name="4.1"/>
    <tableColumn id="2" name="Substituto nas Ausências Legais"/>
    <tableColumn id="3" name="Dias de ausência"/>
    <tableColumn id="4" name="Valor"/>
  </tableColumns>
  <tableStyleInfo name="Eletricista-style 5" showFirstColumn="1" showLastColumn="1" showRowStripes="1" showColumnStripes="0"/>
</table>
</file>

<file path=xl/tables/table141.xml><?xml version="1.0" encoding="utf-8"?>
<table xmlns="http://schemas.openxmlformats.org/spreadsheetml/2006/main" id="164" name="Table_164" displayName="Table_164" ref="A85:D87">
  <tableColumns count="4">
    <tableColumn id="1" name="4.2"/>
    <tableColumn id="2" name="Substituto na Intrajornada "/>
    <tableColumn id="3" name="Comentário"/>
    <tableColumn id="4" name="Valor"/>
  </tableColumns>
  <tableStyleInfo name="Eletricista-style 6" showFirstColumn="1" showLastColumn="1" showRowStripes="1" showColumnStripes="0"/>
</table>
</file>

<file path=xl/tables/table142.xml><?xml version="1.0" encoding="utf-8"?>
<table xmlns="http://schemas.openxmlformats.org/spreadsheetml/2006/main" id="165" name="Table_165" displayName="Table_165" ref="F2:G7">
  <tableColumns count="2">
    <tableColumn id="1" name="Descrição"/>
    <tableColumn id="2" name="Valor"/>
  </tableColumns>
  <tableStyleInfo name="Eletricista-style 7" showFirstColumn="1" showLastColumn="1" showRowStripes="1" showColumnStripes="0"/>
</table>
</file>

<file path=xl/tables/table143.xml><?xml version="1.0" encoding="utf-8"?>
<table xmlns="http://schemas.openxmlformats.org/spreadsheetml/2006/main" id="166" name="Table_166" displayName="Table_166" ref="A2:D7">
  <tableColumns count="4">
    <tableColumn id="1" name="Item"/>
    <tableColumn id="2" name="Descrição"/>
    <tableColumn id="3" name="Comentário"/>
    <tableColumn id="4" name="Valor"/>
  </tableColumns>
  <tableStyleInfo name="Eletricista-style 8" showFirstColumn="1" showLastColumn="1" showRowStripes="1" showColumnStripes="0"/>
</table>
</file>

<file path=xl/tables/table144.xml><?xml version="1.0" encoding="utf-8"?>
<table xmlns="http://schemas.openxmlformats.org/spreadsheetml/2006/main" id="167" name="Table_167" displayName="Table_167" ref="A31:D40">
  <tableColumns count="4">
    <tableColumn id="1" name="2.2"/>
    <tableColumn id="2" name="GPS, FGTS e outras contribuições"/>
    <tableColumn id="3" name="Percentual"/>
    <tableColumn id="4" name="Valor "/>
  </tableColumns>
  <tableStyleInfo name="Eletricista-style 9" showFirstColumn="1" showLastColumn="1" showRowStripes="1" showColumnStripes="0"/>
</table>
</file>

<file path=xl/tables/table145.xml><?xml version="1.0" encoding="utf-8"?>
<table xmlns="http://schemas.openxmlformats.org/spreadsheetml/2006/main" id="168" name="Table_168" displayName="Table_168" ref="A21:D24">
  <tableColumns count="4">
    <tableColumn id="1" name="2.1"/>
    <tableColumn id="2" name="13º (décimo terceiro) Salário e Adicional de Férias"/>
    <tableColumn id="3" name="Comentário"/>
    <tableColumn id="4" name="Valor"/>
  </tableColumns>
  <tableStyleInfo name="Eletricista-style 10" showFirstColumn="1" showLastColumn="1" showRowStripes="1" showColumnStripes="0"/>
</table>
</file>

<file path=xl/tables/table146.xml><?xml version="1.0" encoding="utf-8"?>
<table xmlns="http://schemas.openxmlformats.org/spreadsheetml/2006/main" id="169" name="Table_169" displayName="Table_169" ref="A10:D17">
  <tableColumns count="4">
    <tableColumn id="1" name="1"/>
    <tableColumn id="2" name="Composição da Remuneração"/>
    <tableColumn id="3" name="Comentário"/>
    <tableColumn id="4" name="Valor"/>
  </tableColumns>
  <tableStyleInfo name="Eletricista-style 11" showFirstColumn="1" showLastColumn="1" showRowStripes="1" showColumnStripes="0"/>
</table>
</file>

<file path=xl/tables/table147.xml><?xml version="1.0" encoding="utf-8"?>
<table xmlns="http://schemas.openxmlformats.org/spreadsheetml/2006/main" id="170" name="Table_170" displayName="Table_170" ref="A111:D118">
  <tableColumns count="4">
    <tableColumn id="1" name="6"/>
    <tableColumn id="2" name="Custos Indiretos, Tributos e Lucro"/>
    <tableColumn id="3" name="Percentual"/>
    <tableColumn id="4" name="Valor"/>
  </tableColumns>
  <tableStyleInfo name="Eletricista-style 12" showFirstColumn="1" showLastColumn="1" showRowStripes="1" showColumnStripes="0"/>
</table>
</file>

<file path=xl/tables/table148.xml><?xml version="1.0" encoding="utf-8"?>
<table xmlns="http://schemas.openxmlformats.org/spreadsheetml/2006/main" id="171" name="Table_171" displayName="Table_171" ref="A59:D66">
  <tableColumns count="4">
    <tableColumn id="1" name="3"/>
    <tableColumn id="2" name="Provisão para Rescisão"/>
    <tableColumn id="3" name="Comentário"/>
    <tableColumn id="4" name="Valor"/>
  </tableColumns>
  <tableStyleInfo name="Eletricista-style 13" showFirstColumn="1" showLastColumn="1" showRowStripes="1" showColumnStripes="0"/>
</table>
</file>

<file path=xl/tables/table149.xml><?xml version="1.0" encoding="utf-8"?>
<table xmlns="http://schemas.openxmlformats.org/spreadsheetml/2006/main" id="172" name="Table_172" displayName="Table_172" ref="A121:D129">
  <tableColumns count="4">
    <tableColumn id="1" name="Item"/>
    <tableColumn id="2" name="Mão de obra vinculada à execução contratual"/>
    <tableColumn id="3" name="-"/>
    <tableColumn id="4" name="Valor"/>
  </tableColumns>
  <tableStyleInfo name="Eletricista-style 14" showFirstColumn="1" showLastColumn="1" showRowStripes="1" showColumnStripes="0"/>
</table>
</file>

<file path=xl/tables/table15.xml><?xml version="1.0" encoding="utf-8"?>
<table xmlns="http://schemas.openxmlformats.org/spreadsheetml/2006/main" id="38" name="Table_38" displayName="Table_38" ref="A116:D121">
  <tableColumns count="4">
    <tableColumn id="1" name="5"/>
    <tableColumn id="2" name="Insumos Diversos"/>
    <tableColumn id="3" name="Comentário"/>
    <tableColumn id="4" name="Valor"/>
  </tableColumns>
  <tableStyleInfo name="Encarregado-style 15" showFirstColumn="1" showLastColumn="1" showRowStripes="1" showColumnStripes="0"/>
</table>
</file>

<file path=xl/tables/table150.xml><?xml version="1.0" encoding="utf-8"?>
<table xmlns="http://schemas.openxmlformats.org/spreadsheetml/2006/main" id="173" name="Table_173" displayName="Table_173" ref="A31:D40">
  <tableColumns count="4">
    <tableColumn id="1" name="2.2"/>
    <tableColumn id="2" name="GPS, FGTS e outras contribuições"/>
    <tableColumn id="3" name="Percentual"/>
    <tableColumn id="4" name="Valor "/>
  </tableColumns>
  <tableStyleInfo name="THB-style" showFirstColumn="1" showLastColumn="1" showRowStripes="1" showColumnStripes="0"/>
</table>
</file>

<file path=xl/tables/table151.xml><?xml version="1.0" encoding="utf-8"?>
<table xmlns="http://schemas.openxmlformats.org/spreadsheetml/2006/main" id="174" name="Table_174" displayName="Table_174" ref="A43:D49">
  <tableColumns count="4">
    <tableColumn id="1" name="2.3"/>
    <tableColumn id="2" name="Benefícios Mensais e Diários"/>
    <tableColumn id="3" name="Comentário"/>
    <tableColumn id="4" name="Valor"/>
  </tableColumns>
  <tableStyleInfo name="THB-style 2" showFirstColumn="1" showLastColumn="1" showRowStripes="1" showColumnStripes="0"/>
</table>
</file>

<file path=xl/tables/table152.xml><?xml version="1.0" encoding="utf-8"?>
<table xmlns="http://schemas.openxmlformats.org/spreadsheetml/2006/main" id="175" name="Table_175" displayName="Table_175" ref="A10:D17">
  <tableColumns count="4">
    <tableColumn id="1" name="1"/>
    <tableColumn id="2" name="Composição da Remuneração"/>
    <tableColumn id="3" name="Comentário"/>
    <tableColumn id="4" name="Valor"/>
  </tableColumns>
  <tableStyleInfo name="THB-style 3" showFirstColumn="1" showLastColumn="1" showRowStripes="1" showColumnStripes="0"/>
</table>
</file>

<file path=xl/tables/table153.xml><?xml version="1.0" encoding="utf-8"?>
<table xmlns="http://schemas.openxmlformats.org/spreadsheetml/2006/main" id="176" name="Table_176" displayName="Table_176" ref="A21:D24">
  <tableColumns count="4">
    <tableColumn id="1" name="2.1"/>
    <tableColumn id="2" name="13º (décimo terceiro) Salário e Adicional de Férias"/>
    <tableColumn id="3" name="Comentário"/>
    <tableColumn id="4" name="Valor"/>
  </tableColumns>
  <tableStyleInfo name="THB-style 4" showFirstColumn="1" showLastColumn="1" showRowStripes="1" showColumnStripes="0"/>
</table>
</file>

<file path=xl/tables/table154.xml><?xml version="1.0" encoding="utf-8"?>
<table xmlns="http://schemas.openxmlformats.org/spreadsheetml/2006/main" id="177" name="Table_177" displayName="Table_177" ref="F2:G7">
  <tableColumns count="2">
    <tableColumn id="1" name="Descrição"/>
    <tableColumn id="2" name="Valor"/>
  </tableColumns>
  <tableStyleInfo name="THB-style 5" showFirstColumn="1" showLastColumn="1" showRowStripes="1" showColumnStripes="0"/>
</table>
</file>

<file path=xl/tables/table155.xml><?xml version="1.0" encoding="utf-8"?>
<table xmlns="http://schemas.openxmlformats.org/spreadsheetml/2006/main" id="178" name="Table_178" displayName="Table_178" ref="A2:D7">
  <tableColumns count="4">
    <tableColumn id="1" name="Item"/>
    <tableColumn id="2" name="Descrição"/>
    <tableColumn id="3" name="Comentário"/>
    <tableColumn id="4" name="Valor"/>
  </tableColumns>
  <tableStyleInfo name="THB-style 6" showFirstColumn="1" showLastColumn="1" showRowStripes="1" showColumnStripes="0"/>
</table>
</file>

<file path=xl/tables/table156.xml><?xml version="1.0" encoding="utf-8"?>
<table xmlns="http://schemas.openxmlformats.org/spreadsheetml/2006/main" id="179" name="Table_179" displayName="Table_179" ref="A111:D118">
  <tableColumns count="4">
    <tableColumn id="1" name="6"/>
    <tableColumn id="2" name="Custos Indiretos, Tributos e Lucro"/>
    <tableColumn id="3" name="Percentual"/>
    <tableColumn id="4" name="Valor"/>
  </tableColumns>
  <tableStyleInfo name="THB-style 7" showFirstColumn="1" showLastColumn="1" showRowStripes="1" showColumnStripes="0"/>
</table>
</file>

<file path=xl/tables/table157.xml><?xml version="1.0" encoding="utf-8"?>
<table xmlns="http://schemas.openxmlformats.org/spreadsheetml/2006/main" id="180" name="Table_180" displayName="Table_180" ref="A75:D82">
  <tableColumns count="4">
    <tableColumn id="1" name="4.1"/>
    <tableColumn id="2" name="Substituto nas Ausências Legais"/>
    <tableColumn id="3" name="Dias de ausência"/>
    <tableColumn id="4" name="Valor"/>
  </tableColumns>
  <tableStyleInfo name="THB-style 8" showFirstColumn="1" showLastColumn="1" showRowStripes="1" showColumnStripes="0"/>
</table>
</file>

<file path=xl/tables/table158.xml><?xml version="1.0" encoding="utf-8"?>
<table xmlns="http://schemas.openxmlformats.org/spreadsheetml/2006/main" id="181" name="Table_181" displayName="Table_181" ref="A85:D87">
  <tableColumns count="4">
    <tableColumn id="1" name="4.2"/>
    <tableColumn id="2" name="Substituto na Intrajornada "/>
    <tableColumn id="3" name="Comentário"/>
    <tableColumn id="4" name="Valor"/>
  </tableColumns>
  <tableStyleInfo name="THB-style 9" showFirstColumn="1" showLastColumn="1" showRowStripes="1" showColumnStripes="0"/>
</table>
</file>

<file path=xl/tables/table159.xml><?xml version="1.0" encoding="utf-8"?>
<table xmlns="http://schemas.openxmlformats.org/spreadsheetml/2006/main" id="182" name="Table_182" displayName="Table_182" ref="A59:D66">
  <tableColumns count="4">
    <tableColumn id="1" name="3"/>
    <tableColumn id="2" name="Provisão para Rescisão"/>
    <tableColumn id="3" name="Comentário"/>
    <tableColumn id="4" name="Valor"/>
  </tableColumns>
  <tableStyleInfo name="THB-style 10" showFirstColumn="1" showLastColumn="1" showRowStripes="1" showColumnStripes="0"/>
</table>
</file>

<file path=xl/tables/table16.xml><?xml version="1.0" encoding="utf-8"?>
<table xmlns="http://schemas.openxmlformats.org/spreadsheetml/2006/main" id="39" name="Table_39" displayName="Table_39" ref="A2:D7">
  <tableColumns count="4">
    <tableColumn id="1" name="Item"/>
    <tableColumn id="2" name="Descrição"/>
    <tableColumn id="3" name="Comentário"/>
    <tableColumn id="4" name="Valor"/>
  </tableColumns>
  <tableStyleInfo name="Encarregado-style 16" showFirstColumn="1" showLastColumn="1" showRowStripes="1" showColumnStripes="0"/>
</table>
</file>

<file path=xl/tables/table160.xml><?xml version="1.0" encoding="utf-8"?>
<table xmlns="http://schemas.openxmlformats.org/spreadsheetml/2006/main" id="183" name="Table_183" displayName="Table_183" ref="A90:D93">
  <tableColumns count="4">
    <tableColumn id="1" name="4"/>
    <tableColumn id="2" name="Custo de Reposição do Profissional Ausente"/>
    <tableColumn id="3" name="Comentário"/>
    <tableColumn id="4" name="Valor"/>
  </tableColumns>
  <tableStyleInfo name="THB-style 11" showFirstColumn="1" showLastColumn="1" showRowStripes="1" showColumnStripes="0"/>
</table>
</file>

<file path=xl/tables/table161.xml><?xml version="1.0" encoding="utf-8"?>
<table xmlns="http://schemas.openxmlformats.org/spreadsheetml/2006/main" id="184" name="Table_184" displayName="Table_184" ref="A96:D101">
  <tableColumns count="4">
    <tableColumn id="1" name="5"/>
    <tableColumn id="2" name="Insumos Diversos"/>
    <tableColumn id="3" name="Comentário"/>
    <tableColumn id="4" name="Valor"/>
  </tableColumns>
  <tableStyleInfo name="THB-style 12" showFirstColumn="1" showLastColumn="1" showRowStripes="1" showColumnStripes="0"/>
</table>
</file>

<file path=xl/tables/table162.xml><?xml version="1.0" encoding="utf-8"?>
<table xmlns="http://schemas.openxmlformats.org/spreadsheetml/2006/main" id="185" name="Table_185" displayName="Table_185" ref="A52:D56">
  <tableColumns count="4">
    <tableColumn id="1" name="2"/>
    <tableColumn id="2" name="Encargos e Benefícios Anuais, Mensais e Diários"/>
    <tableColumn id="3" name="Comentário"/>
    <tableColumn id="4" name="Valor"/>
  </tableColumns>
  <tableStyleInfo name="THB-style 13" showFirstColumn="1" showLastColumn="1" showRowStripes="1" showColumnStripes="0"/>
</table>
</file>

<file path=xl/tables/table163.xml><?xml version="1.0" encoding="utf-8"?>
<table xmlns="http://schemas.openxmlformats.org/spreadsheetml/2006/main" id="186" name="Table_186" displayName="Table_186" ref="A121:D129">
  <tableColumns count="4">
    <tableColumn id="1" name="Item"/>
    <tableColumn id="2" name="Mão de obra vinculada à execução contratual"/>
    <tableColumn id="3" name="-"/>
    <tableColumn id="4" name="Valor"/>
  </tableColumns>
  <tableStyleInfo name="THB-style 14" showFirstColumn="1" showLastColumn="1" showRowStripes="1" showColumnStripes="0"/>
</table>
</file>

<file path=xl/tables/table17.xml><?xml version="1.0" encoding="utf-8"?>
<table xmlns="http://schemas.openxmlformats.org/spreadsheetml/2006/main" id="40" name="Table_40" displayName="Table_40" ref="F15:G20">
  <tableColumns count="2">
    <tableColumn id="1" name="Descrição"/>
    <tableColumn id="2" name="Percentual"/>
  </tableColumns>
  <tableStyleInfo name="Encarregado-style 17" showFirstColumn="1" showLastColumn="1" showRowStripes="1" showColumnStripes="0"/>
</table>
</file>

<file path=xl/tables/table18.xml><?xml version="1.0" encoding="utf-8"?>
<table xmlns="http://schemas.openxmlformats.org/spreadsheetml/2006/main" id="41" name="Table_41" displayName="Table_41" ref="F2:G6">
  <tableColumns count="2">
    <tableColumn id="1" name="Descrição"/>
    <tableColumn id="2" name="Valor"/>
  </tableColumns>
  <tableStyleInfo name="Encarregado-style 18" showFirstColumn="1" showLastColumn="1" showRowStripes="1" showColumnStripes="0"/>
</table>
</file>

<file path=xl/tables/table19.xml><?xml version="1.0" encoding="utf-8"?>
<table xmlns="http://schemas.openxmlformats.org/spreadsheetml/2006/main" id="42" name="Table_42" displayName="Table_42" ref="F9:G12">
  <tableColumns count="2">
    <tableColumn id="1" name="Tipos"/>
    <tableColumn id="2" name="Percentual"/>
  </tableColumns>
  <tableStyleInfo name="Encarregado-style 19" showFirstColumn="1" showLastColumn="1" showRowStripes="1" showColumnStripes="0"/>
</table>
</file>

<file path=xl/tables/table2.xml><?xml version="1.0" encoding="utf-8"?>
<table xmlns="http://schemas.openxmlformats.org/spreadsheetml/2006/main" id="25" name="Table_25" displayName="Table_25" ref="A32:D41">
  <tableColumns count="4">
    <tableColumn id="1" name="2.2"/>
    <tableColumn id="2" name="GPS, FGTS e outras contribuições"/>
    <tableColumn id="3" name="Percentual"/>
    <tableColumn id="4" name="Valor "/>
  </tableColumns>
  <tableStyleInfo name="Encarregado-style 2" showFirstColumn="1" showLastColumn="1" showRowStripes="1" showColumnStripes="0"/>
</table>
</file>

<file path=xl/tables/table20.xml><?xml version="1.0" encoding="utf-8"?>
<table xmlns="http://schemas.openxmlformats.org/spreadsheetml/2006/main" id="43" name="Table_43" displayName="Table_43" ref="A142:D150">
  <tableColumns count="4">
    <tableColumn id="1" name="Item"/>
    <tableColumn id="2" name="Mão de obra vinculada à execução contratual"/>
    <tableColumn id="3" name="-"/>
    <tableColumn id="4" name="Valor"/>
  </tableColumns>
  <tableStyleInfo name="Encarregado-style 20" showFirstColumn="1" showLastColumn="1" showRowStripes="1" showColumnStripes="0"/>
</table>
</file>

<file path=xl/tables/table21.xml><?xml version="1.0" encoding="utf-8"?>
<table xmlns="http://schemas.openxmlformats.org/spreadsheetml/2006/main" id="44" name="Table_44" displayName="Table_44" ref="A10:D17">
  <tableColumns count="4">
    <tableColumn id="1" name="1"/>
    <tableColumn id="2" name="Composição da Remuneração"/>
    <tableColumn id="3" name="Comentário"/>
    <tableColumn id="4" name="Valor"/>
  </tableColumns>
  <tableStyleInfo name="Encarregado-style 21" showFirstColumn="1" showLastColumn="1" showRowStripes="1" showColumnStripes="0"/>
</table>
</file>

<file path=xl/tables/table22.xml><?xml version="1.0" encoding="utf-8"?>
<table xmlns="http://schemas.openxmlformats.org/spreadsheetml/2006/main" id="45" name="Table_45" displayName="Table_45" ref="A57:D59">
  <tableColumns count="4">
    <tableColumn id="1" name="Item"/>
    <tableColumn id="2" name="Rubrica"/>
    <tableColumn id="3" name="Base de Cálculo"/>
    <tableColumn id="4" name="Memória de Cálculo"/>
  </tableColumns>
  <tableStyleInfo name="Encarregado-style 22" showFirstColumn="1" showLastColumn="1" showRowStripes="1" showColumnStripes="0"/>
</table>
</file>

<file path=xl/tables/table23.xml><?xml version="1.0" encoding="utf-8"?>
<table xmlns="http://schemas.openxmlformats.org/spreadsheetml/2006/main" id="46" name="Table_46" displayName="Table_46" ref="F23:G25">
  <tableColumns count="2">
    <tableColumn id="1" name="Descrição"/>
    <tableColumn id="2" name="Valor"/>
  </tableColumns>
  <tableStyleInfo name="Encarregado-style 23" showFirstColumn="1" showLastColumn="1" showRowStripes="1" showColumnStripes="0"/>
</table>
</file>

<file path=xl/tables/table24.xml><?xml version="1.0" encoding="utf-8"?>
<table xmlns="http://schemas.openxmlformats.org/spreadsheetml/2006/main" id="47" name="Table_47" displayName="Table_47" ref="A31:D40">
  <tableColumns count="4">
    <tableColumn id="1" name="2.2"/>
    <tableColumn id="2" name="GPS, FGTS e outras contribuições"/>
    <tableColumn id="3" name="Percentual"/>
    <tableColumn id="4" name="Valor "/>
  </tableColumns>
  <tableStyleInfo name="Monitor de Sistemas Eletrônicos-style" showFirstColumn="1" showLastColumn="1" showRowStripes="1" showColumnStripes="0"/>
</table>
</file>

<file path=xl/tables/table25.xml><?xml version="1.0" encoding="utf-8"?>
<table xmlns="http://schemas.openxmlformats.org/spreadsheetml/2006/main" id="48" name="Table_48" displayName="Table_48" ref="A43:D49">
  <tableColumns count="4">
    <tableColumn id="1" name="2.3"/>
    <tableColumn id="2" name="Benefícios Mensais e Diários"/>
    <tableColumn id="3" name="Comentário"/>
    <tableColumn id="4" name="Valor"/>
  </tableColumns>
  <tableStyleInfo name="Monitor de Sistemas Eletrônicos-style 2" showFirstColumn="1" showLastColumn="1" showRowStripes="1" showColumnStripes="0"/>
</table>
</file>

<file path=xl/tables/table26.xml><?xml version="1.0" encoding="utf-8"?>
<table xmlns="http://schemas.openxmlformats.org/spreadsheetml/2006/main" id="49" name="Table_49" displayName="Table_49" ref="F2:G7">
  <tableColumns count="2">
    <tableColumn id="1" name="Descrição"/>
    <tableColumn id="2" name="Valor"/>
  </tableColumns>
  <tableStyleInfo name="Monitor de Sistemas Eletrônicos-style 3" showFirstColumn="1" showLastColumn="1" showRowStripes="1" showColumnStripes="0"/>
</table>
</file>

<file path=xl/tables/table27.xml><?xml version="1.0" encoding="utf-8"?>
<table xmlns="http://schemas.openxmlformats.org/spreadsheetml/2006/main" id="50" name="Table_50" displayName="Table_50" ref="A2:D7">
  <tableColumns count="4">
    <tableColumn id="1" name="Item"/>
    <tableColumn id="2" name="Descrição"/>
    <tableColumn id="3" name="Comentário"/>
    <tableColumn id="4" name="Valor"/>
  </tableColumns>
  <tableStyleInfo name="Monitor de Sistemas Eletrônicos-style 4" showFirstColumn="1" showLastColumn="1" showRowStripes="1" showColumnStripes="0"/>
</table>
</file>

<file path=xl/tables/table28.xml><?xml version="1.0" encoding="utf-8"?>
<table xmlns="http://schemas.openxmlformats.org/spreadsheetml/2006/main" id="51" name="Table_51" displayName="Table_51" ref="A96:D101">
  <tableColumns count="4">
    <tableColumn id="1" name="5"/>
    <tableColumn id="2" name="Insumos Diversos"/>
    <tableColumn id="3" name="Comentário"/>
    <tableColumn id="4" name="Valor"/>
  </tableColumns>
  <tableStyleInfo name="Monitor de Sistemas Eletrônicos-style 5" showFirstColumn="1" showLastColumn="1" showRowStripes="1" showColumnStripes="0"/>
</table>
</file>

<file path=xl/tables/table29.xml><?xml version="1.0" encoding="utf-8"?>
<table xmlns="http://schemas.openxmlformats.org/spreadsheetml/2006/main" id="52" name="Table_52" displayName="Table_52" ref="A90:D93">
  <tableColumns count="4">
    <tableColumn id="1" name="4"/>
    <tableColumn id="2" name="Custo de Reposição do Profissional Ausente"/>
    <tableColumn id="3" name="Comentário"/>
    <tableColumn id="4" name="Valor"/>
  </tableColumns>
  <tableStyleInfo name="Monitor de Sistemas Eletrônicos-style 6" showFirstColumn="1" showLastColumn="1" showRowStripes="1" showColumnStripes="0"/>
</table>
</file>

<file path=xl/tables/table3.xml><?xml version="1.0" encoding="utf-8"?>
<table xmlns="http://schemas.openxmlformats.org/spreadsheetml/2006/main" id="26" name="Table_26" displayName="Table_26" ref="A44:D45">
  <tableColumns count="4">
    <tableColumn id="1" name="Item"/>
    <tableColumn id="2" name="Rubrica"/>
    <tableColumn id="3" name="Base de Cálculo"/>
    <tableColumn id="4" name="Memória de Cálculo"/>
  </tableColumns>
  <tableStyleInfo name="Encarregado-style 3" showFirstColumn="1" showLastColumn="1" showRowStripes="1" showColumnStripes="0"/>
</table>
</file>

<file path=xl/tables/table30.xml><?xml version="1.0" encoding="utf-8"?>
<table xmlns="http://schemas.openxmlformats.org/spreadsheetml/2006/main" id="53" name="Table_53" displayName="Table_53" ref="A111:D118">
  <tableColumns count="4">
    <tableColumn id="1" name="6"/>
    <tableColumn id="2" name="Custos Indiretos, Tributos e Lucro"/>
    <tableColumn id="3" name="Percentual"/>
    <tableColumn id="4" name="Valor"/>
  </tableColumns>
  <tableStyleInfo name="Monitor de Sistemas Eletrônicos-style 7" showFirstColumn="1" showLastColumn="1" showRowStripes="1" showColumnStripes="0"/>
</table>
</file>

<file path=xl/tables/table31.xml><?xml version="1.0" encoding="utf-8"?>
<table xmlns="http://schemas.openxmlformats.org/spreadsheetml/2006/main" id="54" name="Table_54" displayName="Table_54" ref="A121:D129">
  <tableColumns count="4">
    <tableColumn id="1" name="Item"/>
    <tableColumn id="2" name="Mão de obra vinculada à execução contratual"/>
    <tableColumn id="3" name="-"/>
    <tableColumn id="4" name="Valor"/>
  </tableColumns>
  <tableStyleInfo name="Monitor de Sistemas Eletrônicos-style 8" showFirstColumn="1" showLastColumn="1" showRowStripes="1" showColumnStripes="0"/>
</table>
</file>

<file path=xl/tables/table32.xml><?xml version="1.0" encoding="utf-8"?>
<table xmlns="http://schemas.openxmlformats.org/spreadsheetml/2006/main" id="55" name="Table_55" displayName="Table_55" ref="A10:D17">
  <tableColumns count="4">
    <tableColumn id="1" name="1"/>
    <tableColumn id="2" name="Composição da Remuneração"/>
    <tableColumn id="3" name="Comentário"/>
    <tableColumn id="4" name="Valor"/>
  </tableColumns>
  <tableStyleInfo name="Monitor de Sistemas Eletrônicos-style 9" showFirstColumn="1" showLastColumn="1" showRowStripes="1" showColumnStripes="0"/>
</table>
</file>

<file path=xl/tables/table33.xml><?xml version="1.0" encoding="utf-8"?>
<table xmlns="http://schemas.openxmlformats.org/spreadsheetml/2006/main" id="56" name="Table_56" displayName="Table_56" ref="A59:D66">
  <tableColumns count="4">
    <tableColumn id="1" name="3"/>
    <tableColumn id="2" name="Provisão para Rescisão"/>
    <tableColumn id="3" name="Comentário"/>
    <tableColumn id="4" name="Valor"/>
  </tableColumns>
  <tableStyleInfo name="Monitor de Sistemas Eletrônicos-style 10" showFirstColumn="1" showLastColumn="1" showRowStripes="1" showColumnStripes="0"/>
</table>
</file>

<file path=xl/tables/table34.xml><?xml version="1.0" encoding="utf-8"?>
<table xmlns="http://schemas.openxmlformats.org/spreadsheetml/2006/main" id="57" name="Table_57" displayName="Table_57" ref="A21:D24">
  <tableColumns count="4">
    <tableColumn id="1" name="2.1"/>
    <tableColumn id="2" name="13º (décimo terceiro) Salário e Adicional de Férias"/>
    <tableColumn id="3" name="Comentário"/>
    <tableColumn id="4" name="Valor"/>
  </tableColumns>
  <tableStyleInfo name="Monitor de Sistemas Eletrônicos-style 11" showFirstColumn="1" showLastColumn="1" showRowStripes="1" showColumnStripes="0"/>
</table>
</file>

<file path=xl/tables/table35.xml><?xml version="1.0" encoding="utf-8"?>
<table xmlns="http://schemas.openxmlformats.org/spreadsheetml/2006/main" id="58" name="Table_58" displayName="Table_58" ref="A85:D87">
  <tableColumns count="4">
    <tableColumn id="1" name="4.2"/>
    <tableColumn id="2" name="Substituto na Intrajornada "/>
    <tableColumn id="3" name="Comentário"/>
    <tableColumn id="4" name="Valor"/>
  </tableColumns>
  <tableStyleInfo name="Monitor de Sistemas Eletrônicos-style 12" showFirstColumn="1" showLastColumn="1" showRowStripes="1" showColumnStripes="0"/>
</table>
</file>

<file path=xl/tables/table36.xml><?xml version="1.0" encoding="utf-8"?>
<table xmlns="http://schemas.openxmlformats.org/spreadsheetml/2006/main" id="59" name="Table_59" displayName="Table_59" ref="A52:D56">
  <tableColumns count="4">
    <tableColumn id="1" name="2"/>
    <tableColumn id="2" name="Encargos e Benefícios Anuais, Mensais e Diários"/>
    <tableColumn id="3" name="Comentário"/>
    <tableColumn id="4" name="Valor"/>
  </tableColumns>
  <tableStyleInfo name="Monitor de Sistemas Eletrônicos-style 13" showFirstColumn="1" showLastColumn="1" showRowStripes="1" showColumnStripes="0"/>
</table>
</file>

<file path=xl/tables/table37.xml><?xml version="1.0" encoding="utf-8"?>
<table xmlns="http://schemas.openxmlformats.org/spreadsheetml/2006/main" id="60" name="Table_60" displayName="Table_60" ref="A75:D82">
  <tableColumns count="4">
    <tableColumn id="1" name="4.1"/>
    <tableColumn id="2" name="Substituto nas Ausências Legais"/>
    <tableColumn id="3" name="Dias de ausência"/>
    <tableColumn id="4" name="Valor"/>
  </tableColumns>
  <tableStyleInfo name="Monitor de Sistemas Eletrônicos-style 14" showFirstColumn="1" showLastColumn="1" showRowStripes="1" showColumnStripes="0"/>
</table>
</file>

<file path=xl/tables/table38.xml><?xml version="1.0" encoding="utf-8"?>
<table xmlns="http://schemas.openxmlformats.org/spreadsheetml/2006/main" id="61" name="Table_61" displayName="Table_61" ref="A43:D49">
  <tableColumns count="4">
    <tableColumn id="1" name="2.3"/>
    <tableColumn id="2" name="Benefícios Mensais e Diários"/>
    <tableColumn id="3" name="Comentário"/>
    <tableColumn id="4" name="Valor"/>
  </tableColumns>
  <tableStyleInfo name="Almoxarife-style" showFirstColumn="1" showLastColumn="1" showRowStripes="1" showColumnStripes="0"/>
</table>
</file>

<file path=xl/tables/table39.xml><?xml version="1.0" encoding="utf-8"?>
<table xmlns="http://schemas.openxmlformats.org/spreadsheetml/2006/main" id="62" name="Table_62" displayName="Table_62" ref="A31:D40">
  <tableColumns count="4">
    <tableColumn id="1" name="2.2"/>
    <tableColumn id="2" name="GPS, FGTS e outras contribuições"/>
    <tableColumn id="3" name="Percentual"/>
    <tableColumn id="4" name="Valor "/>
  </tableColumns>
  <tableStyleInfo name="Almoxarife-style 2" showFirstColumn="1" showLastColumn="1" showRowStripes="1" showColumnStripes="0"/>
</table>
</file>

<file path=xl/tables/table4.xml><?xml version="1.0" encoding="utf-8"?>
<table xmlns="http://schemas.openxmlformats.org/spreadsheetml/2006/main" id="27" name="Table_27" displayName="Table_27" ref="A124:D128">
  <tableColumns count="4">
    <tableColumn id="1" name="Item"/>
    <tableColumn id="2" name="Rubrica"/>
    <tableColumn id="3" name="Base de Cálculo"/>
    <tableColumn id="4" name="Memória de Cálculo"/>
  </tableColumns>
  <tableStyleInfo name="Encarregado-style 4" showFirstColumn="1" showLastColumn="1" showRowStripes="1" showColumnStripes="0"/>
</table>
</file>

<file path=xl/tables/table40.xml><?xml version="1.0" encoding="utf-8"?>
<table xmlns="http://schemas.openxmlformats.org/spreadsheetml/2006/main" id="63" name="Table_63" displayName="Table_63" ref="F2:G7">
  <tableColumns count="2">
    <tableColumn id="1" name="Descrição"/>
    <tableColumn id="2" name="Valor"/>
  </tableColumns>
  <tableStyleInfo name="Almoxarife-style 3" showFirstColumn="1" showLastColumn="1" showRowStripes="1" showColumnStripes="0"/>
</table>
</file>

<file path=xl/tables/table41.xml><?xml version="1.0" encoding="utf-8"?>
<table xmlns="http://schemas.openxmlformats.org/spreadsheetml/2006/main" id="64" name="Table_64" displayName="Table_64" ref="A85:D87">
  <tableColumns count="4">
    <tableColumn id="1" name="4.2"/>
    <tableColumn id="2" name="Substituto na Intrajornada "/>
    <tableColumn id="3" name="Comentário"/>
    <tableColumn id="4" name="Valor"/>
  </tableColumns>
  <tableStyleInfo name="Almoxarife-style 4" showFirstColumn="1" showLastColumn="1" showRowStripes="1" showColumnStripes="0"/>
</table>
</file>

<file path=xl/tables/table42.xml><?xml version="1.0" encoding="utf-8"?>
<table xmlns="http://schemas.openxmlformats.org/spreadsheetml/2006/main" id="65" name="Table_65" displayName="Table_65" ref="A75:D82">
  <tableColumns count="4">
    <tableColumn id="1" name="4.1"/>
    <tableColumn id="2" name="Substituto nas Ausências Legais"/>
    <tableColumn id="3" name="Dias de ausência"/>
    <tableColumn id="4" name="Valor"/>
  </tableColumns>
  <tableStyleInfo name="Almoxarife-style 5" showFirstColumn="1" showLastColumn="1" showRowStripes="1" showColumnStripes="0"/>
</table>
</file>

<file path=xl/tables/table43.xml><?xml version="1.0" encoding="utf-8"?>
<table xmlns="http://schemas.openxmlformats.org/spreadsheetml/2006/main" id="66" name="Table_66" displayName="Table_66" ref="A121:D129">
  <tableColumns count="4">
    <tableColumn id="1" name="Item"/>
    <tableColumn id="2" name="Mão de obra vinculada à execução contratual"/>
    <tableColumn id="3" name="-"/>
    <tableColumn id="4" name="Valor"/>
  </tableColumns>
  <tableStyleInfo name="Almoxarife-style 6" showFirstColumn="1" showLastColumn="1" showRowStripes="1" showColumnStripes="0"/>
</table>
</file>

<file path=xl/tables/table44.xml><?xml version="1.0" encoding="utf-8"?>
<table xmlns="http://schemas.openxmlformats.org/spreadsheetml/2006/main" id="67" name="Table_67" displayName="Table_67" ref="A111:D118">
  <tableColumns count="4">
    <tableColumn id="1" name="6"/>
    <tableColumn id="2" name="Custos Indiretos, Tributos e Lucro"/>
    <tableColumn id="3" name="Percentual"/>
    <tableColumn id="4" name="Valor"/>
  </tableColumns>
  <tableStyleInfo name="Almoxarife-style 7" showFirstColumn="1" showLastColumn="1" showRowStripes="1" showColumnStripes="0"/>
</table>
</file>

<file path=xl/tables/table45.xml><?xml version="1.0" encoding="utf-8"?>
<table xmlns="http://schemas.openxmlformats.org/spreadsheetml/2006/main" id="68" name="Table_68" displayName="Table_68" ref="A90:D93">
  <tableColumns count="4">
    <tableColumn id="1" name="4"/>
    <tableColumn id="2" name="Custo de Reposição do Profissional Ausente"/>
    <tableColumn id="3" name="Comentário"/>
    <tableColumn id="4" name="Valor"/>
  </tableColumns>
  <tableStyleInfo name="Almoxarife-style 8" showFirstColumn="1" showLastColumn="1" showRowStripes="1" showColumnStripes="0"/>
</table>
</file>

<file path=xl/tables/table46.xml><?xml version="1.0" encoding="utf-8"?>
<table xmlns="http://schemas.openxmlformats.org/spreadsheetml/2006/main" id="69" name="Table_69" displayName="Table_69" ref="A10:D17">
  <tableColumns count="4">
    <tableColumn id="1" name="1"/>
    <tableColumn id="2" name="Composição da Remuneração"/>
    <tableColumn id="3" name="Comentário"/>
    <tableColumn id="4" name="Valor"/>
  </tableColumns>
  <tableStyleInfo name="Almoxarife-style 9" showFirstColumn="1" showLastColumn="1" showRowStripes="1" showColumnStripes="0"/>
</table>
</file>

<file path=xl/tables/table47.xml><?xml version="1.0" encoding="utf-8"?>
<table xmlns="http://schemas.openxmlformats.org/spreadsheetml/2006/main" id="70" name="Table_70" displayName="Table_70" ref="A2:D7">
  <tableColumns count="4">
    <tableColumn id="1" name="Item"/>
    <tableColumn id="2" name="Descrição"/>
    <tableColumn id="3" name="Comentário"/>
    <tableColumn id="4" name="Valor"/>
  </tableColumns>
  <tableStyleInfo name="Almoxarife-style 10" showFirstColumn="1" showLastColumn="1" showRowStripes="1" showColumnStripes="0"/>
</table>
</file>

<file path=xl/tables/table48.xml><?xml version="1.0" encoding="utf-8"?>
<table xmlns="http://schemas.openxmlformats.org/spreadsheetml/2006/main" id="71" name="Table_71" displayName="Table_71" ref="A52:D56">
  <tableColumns count="4">
    <tableColumn id="1" name="2"/>
    <tableColumn id="2" name="Encargos e Benefícios Anuais, Mensais e Diários"/>
    <tableColumn id="3" name="Comentário"/>
    <tableColumn id="4" name="Valor"/>
  </tableColumns>
  <tableStyleInfo name="Almoxarife-style 11" showFirstColumn="1" showLastColumn="1" showRowStripes="1" showColumnStripes="0"/>
</table>
</file>

<file path=xl/tables/table49.xml><?xml version="1.0" encoding="utf-8"?>
<table xmlns="http://schemas.openxmlformats.org/spreadsheetml/2006/main" id="72" name="Table_72" displayName="Table_72" ref="A21:D24">
  <tableColumns count="4">
    <tableColumn id="1" name="2.1"/>
    <tableColumn id="2" name="13º (décimo terceiro) Salário e Adicional de Férias"/>
    <tableColumn id="3" name="Comentário"/>
    <tableColumn id="4" name="Valor"/>
  </tableColumns>
  <tableStyleInfo name="Almoxarife-style 12" showFirstColumn="1" showLastColumn="1" showRowStripes="1" showColumnStripes="0"/>
</table>
</file>

<file path=xl/tables/table5.xml><?xml version="1.0" encoding="utf-8"?>
<table xmlns="http://schemas.openxmlformats.org/spreadsheetml/2006/main" id="28" name="Table_28" displayName="Table_28" ref="A131:D138">
  <tableColumns count="4">
    <tableColumn id="1" name="6"/>
    <tableColumn id="2" name="Custos Indiretos, Tributos e Lucro"/>
    <tableColumn id="3" name="Percentual"/>
    <tableColumn id="4" name="Valor"/>
  </tableColumns>
  <tableStyleInfo name="Encarregado-style 5" showFirstColumn="1" showLastColumn="1" showRowStripes="1" showColumnStripes="0"/>
</table>
</file>

<file path=xl/tables/table50.xml><?xml version="1.0" encoding="utf-8"?>
<table xmlns="http://schemas.openxmlformats.org/spreadsheetml/2006/main" id="73" name="Table_73" displayName="Table_73" ref="A59:D66">
  <tableColumns count="4">
    <tableColumn id="1" name="3"/>
    <tableColumn id="2" name="Provisão para Rescisão"/>
    <tableColumn id="3" name="Comentário"/>
    <tableColumn id="4" name="Valor"/>
  </tableColumns>
  <tableStyleInfo name="Almoxarife-style 13" showFirstColumn="1" showLastColumn="1" showRowStripes="1" showColumnStripes="0"/>
</table>
</file>

<file path=xl/tables/table51.xml><?xml version="1.0" encoding="utf-8"?>
<table xmlns="http://schemas.openxmlformats.org/spreadsheetml/2006/main" id="74" name="Table_74" displayName="Table_74" ref="A96:D101">
  <tableColumns count="4">
    <tableColumn id="1" name="5"/>
    <tableColumn id="2" name="Insumos Diversos"/>
    <tableColumn id="3" name="Comentário"/>
    <tableColumn id="4" name="Valor"/>
  </tableColumns>
  <tableStyleInfo name="Almoxarife-style 14" showFirstColumn="1" showLastColumn="1" showRowStripes="1" showColumnStripes="0"/>
</table>
</file>

<file path=xl/tables/table52.xml><?xml version="1.0" encoding="utf-8"?>
<table xmlns="http://schemas.openxmlformats.org/spreadsheetml/2006/main" id="75" name="Table_75" displayName="Table_75" ref="A75:D82">
  <tableColumns count="4">
    <tableColumn id="1" name="4.1"/>
    <tableColumn id="2" name="Substituto nas Ausências Legais"/>
    <tableColumn id="3" name="Dias de ausência"/>
    <tableColumn id="4" name="Valor"/>
  </tableColumns>
  <tableStyleInfo name="Recepcionista-style" showFirstColumn="1" showLastColumn="1" showRowStripes="1" showColumnStripes="0"/>
</table>
</file>

<file path=xl/tables/table53.xml><?xml version="1.0" encoding="utf-8"?>
<table xmlns="http://schemas.openxmlformats.org/spreadsheetml/2006/main" id="76" name="Table_76" displayName="Table_76" ref="A85:D87">
  <tableColumns count="4">
    <tableColumn id="1" name="4.2"/>
    <tableColumn id="2" name="Substituto na Intrajornada "/>
    <tableColumn id="3" name="Comentário"/>
    <tableColumn id="4" name="Valor"/>
  </tableColumns>
  <tableStyleInfo name="Recepcionista-style 2" showFirstColumn="1" showLastColumn="1" showRowStripes="1" showColumnStripes="0"/>
</table>
</file>

<file path=xl/tables/table54.xml><?xml version="1.0" encoding="utf-8"?>
<table xmlns="http://schemas.openxmlformats.org/spreadsheetml/2006/main" id="77" name="Table_77" displayName="Table_77" ref="A10:D17">
  <tableColumns count="4">
    <tableColumn id="1" name="1"/>
    <tableColumn id="2" name="Composição da Remuneração"/>
    <tableColumn id="3" name="Comentário"/>
    <tableColumn id="4" name="Valor"/>
  </tableColumns>
  <tableStyleInfo name="Recepcionista-style 3" showFirstColumn="1" showLastColumn="1" showRowStripes="1" showColumnStripes="0"/>
</table>
</file>

<file path=xl/tables/table55.xml><?xml version="1.0" encoding="utf-8"?>
<table xmlns="http://schemas.openxmlformats.org/spreadsheetml/2006/main" id="78" name="Table_78" displayName="Table_78" ref="A21:D24">
  <tableColumns count="4">
    <tableColumn id="1" name="2.1"/>
    <tableColumn id="2" name="13º (décimo terceiro) Salário e Adicional de Férias"/>
    <tableColumn id="3" name="Comentário"/>
    <tableColumn id="4" name="Valor"/>
  </tableColumns>
  <tableStyleInfo name="Recepcionista-style 4" showFirstColumn="1" showLastColumn="1" showRowStripes="1" showColumnStripes="0"/>
</table>
</file>

<file path=xl/tables/table56.xml><?xml version="1.0" encoding="utf-8"?>
<table xmlns="http://schemas.openxmlformats.org/spreadsheetml/2006/main" id="79" name="Table_79" displayName="Table_79" ref="F2:G7">
  <tableColumns count="2">
    <tableColumn id="1" name="Descrição"/>
    <tableColumn id="2" name="Valor"/>
  </tableColumns>
  <tableStyleInfo name="Recepcionista-style 5" showFirstColumn="1" showLastColumn="1" showRowStripes="1" showColumnStripes="0"/>
</table>
</file>

<file path=xl/tables/table57.xml><?xml version="1.0" encoding="utf-8"?>
<table xmlns="http://schemas.openxmlformats.org/spreadsheetml/2006/main" id="80" name="Table_80" displayName="Table_80" ref="A52:D56">
  <tableColumns count="4">
    <tableColumn id="1" name="2"/>
    <tableColumn id="2" name="Encargos e Benefícios Anuais, Mensais e Diários"/>
    <tableColumn id="3" name="Comentário"/>
    <tableColumn id="4" name="Valor"/>
  </tableColumns>
  <tableStyleInfo name="Recepcionista-style 6" showFirstColumn="1" showLastColumn="1" showRowStripes="1" showColumnStripes="0"/>
</table>
</file>

<file path=xl/tables/table58.xml><?xml version="1.0" encoding="utf-8"?>
<table xmlns="http://schemas.openxmlformats.org/spreadsheetml/2006/main" id="81" name="Table_81" displayName="Table_81" ref="A59:D66">
  <tableColumns count="4">
    <tableColumn id="1" name="3"/>
    <tableColumn id="2" name="Provisão para Rescisão"/>
    <tableColumn id="3" name="Comentário"/>
    <tableColumn id="4" name="Valor"/>
  </tableColumns>
  <tableStyleInfo name="Recepcionista-style 7" showFirstColumn="1" showLastColumn="1" showRowStripes="1" showColumnStripes="0"/>
</table>
</file>

<file path=xl/tables/table59.xml><?xml version="1.0" encoding="utf-8"?>
<table xmlns="http://schemas.openxmlformats.org/spreadsheetml/2006/main" id="82" name="Table_82" displayName="Table_82" ref="A111:D118">
  <tableColumns count="4">
    <tableColumn id="1" name="6"/>
    <tableColumn id="2" name="Custos Indiretos, Tributos e Lucro"/>
    <tableColumn id="3" name="Percentual"/>
    <tableColumn id="4" name="Valor"/>
  </tableColumns>
  <tableStyleInfo name="Recepcionista-style 8" showFirstColumn="1" showLastColumn="1" showRowStripes="1" showColumnStripes="0"/>
</table>
</file>

<file path=xl/tables/table6.xml><?xml version="1.0" encoding="utf-8"?>
<table xmlns="http://schemas.openxmlformats.org/spreadsheetml/2006/main" id="29" name="Table_29" displayName="Table_29" ref="A21:D24">
  <tableColumns count="4">
    <tableColumn id="1" name="2.1"/>
    <tableColumn id="2" name="13º (décimo terceiro) Salário e Adicional de Férias"/>
    <tableColumn id="3" name="Comentário"/>
    <tableColumn id="4" name="Valor"/>
  </tableColumns>
  <tableStyleInfo name="Encarregado-style 6" showFirstColumn="1" showLastColumn="1" showRowStripes="1" showColumnStripes="0"/>
</table>
</file>

<file path=xl/tables/table60.xml><?xml version="1.0" encoding="utf-8"?>
<table xmlns="http://schemas.openxmlformats.org/spreadsheetml/2006/main" id="83" name="Table_83" displayName="Table_83" ref="A96:D101">
  <tableColumns count="4">
    <tableColumn id="1" name="5"/>
    <tableColumn id="2" name="Insumos Diversos"/>
    <tableColumn id="3" name="Comentário"/>
    <tableColumn id="4" name="Valor"/>
  </tableColumns>
  <tableStyleInfo name="Recepcionista-style 9" showFirstColumn="1" showLastColumn="1" showRowStripes="1" showColumnStripes="0"/>
</table>
</file>

<file path=xl/tables/table61.xml><?xml version="1.0" encoding="utf-8"?>
<table xmlns="http://schemas.openxmlformats.org/spreadsheetml/2006/main" id="84" name="Table_84" displayName="Table_84" ref="A90:D93">
  <tableColumns count="4">
    <tableColumn id="1" name="4"/>
    <tableColumn id="2" name="Custo de Reposição do Profissional Ausente"/>
    <tableColumn id="3" name="Comentário"/>
    <tableColumn id="4" name="Valor"/>
  </tableColumns>
  <tableStyleInfo name="Recepcionista-style 10" showFirstColumn="1" showLastColumn="1" showRowStripes="1" showColumnStripes="0"/>
</table>
</file>

<file path=xl/tables/table62.xml><?xml version="1.0" encoding="utf-8"?>
<table xmlns="http://schemas.openxmlformats.org/spreadsheetml/2006/main" id="85" name="Table_85" displayName="Table_85" ref="A43:D49">
  <tableColumns count="4">
    <tableColumn id="1" name="2.3"/>
    <tableColumn id="2" name="Benefícios Mensais e Diários"/>
    <tableColumn id="3" name="Comentário"/>
    <tableColumn id="4" name="Valor"/>
  </tableColumns>
  <tableStyleInfo name="Recepcionista-style 11" showFirstColumn="1" showLastColumn="1" showRowStripes="1" showColumnStripes="0"/>
</table>
</file>

<file path=xl/tables/table63.xml><?xml version="1.0" encoding="utf-8"?>
<table xmlns="http://schemas.openxmlformats.org/spreadsheetml/2006/main" id="86" name="Table_86" displayName="Table_86" ref="A2:D7">
  <tableColumns count="4">
    <tableColumn id="1" name="Item"/>
    <tableColumn id="2" name="Descrição"/>
    <tableColumn id="3" name="Comentário"/>
    <tableColumn id="4" name="Valor"/>
  </tableColumns>
  <tableStyleInfo name="Recepcionista-style 12" showFirstColumn="1" showLastColumn="1" showRowStripes="1" showColumnStripes="0"/>
</table>
</file>

<file path=xl/tables/table64.xml><?xml version="1.0" encoding="utf-8"?>
<table xmlns="http://schemas.openxmlformats.org/spreadsheetml/2006/main" id="87" name="Table_87" displayName="Table_87" ref="A31:D40">
  <tableColumns count="4">
    <tableColumn id="1" name="2.2"/>
    <tableColumn id="2" name="GPS, FGTS e outras contribuições"/>
    <tableColumn id="3" name="Percentual"/>
    <tableColumn id="4" name="Valor "/>
  </tableColumns>
  <tableStyleInfo name="Recepcionista-style 13" showFirstColumn="1" showLastColumn="1" showRowStripes="1" showColumnStripes="0"/>
</table>
</file>

<file path=xl/tables/table65.xml><?xml version="1.0" encoding="utf-8"?>
<table xmlns="http://schemas.openxmlformats.org/spreadsheetml/2006/main" id="88" name="Table_88" displayName="Table_88" ref="A121:D129">
  <tableColumns count="4">
    <tableColumn id="1" name="Item"/>
    <tableColumn id="2" name="Mão de obra vinculada à execução contratual"/>
    <tableColumn id="3" name="-"/>
    <tableColumn id="4" name="Valor"/>
  </tableColumns>
  <tableStyleInfo name="Recepcionista-style 14" showFirstColumn="1" showLastColumn="1" showRowStripes="1" showColumnStripes="0"/>
</table>
</file>

<file path=xl/tables/table66.xml><?xml version="1.0" encoding="utf-8"?>
<table xmlns="http://schemas.openxmlformats.org/spreadsheetml/2006/main" id="89" name="Table_89" displayName="Table_89" ref="A111:D118">
  <tableColumns count="4">
    <tableColumn id="1" name="6"/>
    <tableColumn id="2" name="Custos Indiretos, Tributos e Lucro"/>
    <tableColumn id="3" name="Percentual"/>
    <tableColumn id="4" name="Valor"/>
  </tableColumns>
  <tableStyleInfo name="Operador de Fotocopiadora-style" showFirstColumn="1" showLastColumn="1" showRowStripes="1" showColumnStripes="0"/>
</table>
</file>

<file path=xl/tables/table67.xml><?xml version="1.0" encoding="utf-8"?>
<table xmlns="http://schemas.openxmlformats.org/spreadsheetml/2006/main" id="90" name="Table_90" displayName="Table_90" ref="A121:D129">
  <tableColumns count="4">
    <tableColumn id="1" name="Item"/>
    <tableColumn id="2" name="Mão de obra vinculada à execução contratual"/>
    <tableColumn id="3" name="-"/>
    <tableColumn id="4" name="Valor"/>
  </tableColumns>
  <tableStyleInfo name="Operador de Fotocopiadora-style 2" showFirstColumn="1" showLastColumn="1" showRowStripes="1" showColumnStripes="0"/>
</table>
</file>

<file path=xl/tables/table68.xml><?xml version="1.0" encoding="utf-8"?>
<table xmlns="http://schemas.openxmlformats.org/spreadsheetml/2006/main" id="91" name="Table_91" displayName="Table_91" ref="A85:D87">
  <tableColumns count="4">
    <tableColumn id="1" name="4.2"/>
    <tableColumn id="2" name="Substituto na Intrajornada "/>
    <tableColumn id="3" name="Comentário"/>
    <tableColumn id="4" name="Valor"/>
  </tableColumns>
  <tableStyleInfo name="Operador de Fotocopiadora-style 3" showFirstColumn="1" showLastColumn="1" showRowStripes="1" showColumnStripes="0"/>
</table>
</file>

<file path=xl/tables/table69.xml><?xml version="1.0" encoding="utf-8"?>
<table xmlns="http://schemas.openxmlformats.org/spreadsheetml/2006/main" id="92" name="Table_92" displayName="Table_92" ref="A90:D93">
  <tableColumns count="4">
    <tableColumn id="1" name="4"/>
    <tableColumn id="2" name="Custo de Reposição do Profissional Ausente"/>
    <tableColumn id="3" name="Comentário"/>
    <tableColumn id="4" name="Valor"/>
  </tableColumns>
  <tableStyleInfo name="Operador de Fotocopiadora-style 4" showFirstColumn="1" showLastColumn="1" showRowStripes="1" showColumnStripes="0"/>
</table>
</file>

<file path=xl/tables/table7.xml><?xml version="1.0" encoding="utf-8"?>
<table xmlns="http://schemas.openxmlformats.org/spreadsheetml/2006/main" id="30" name="Table_30" displayName="Table_30" ref="A27:D29">
  <tableColumns count="4">
    <tableColumn id="1" name="Item"/>
    <tableColumn id="2" name="Rubrica"/>
    <tableColumn id="3" name="Base de Cálculo"/>
    <tableColumn id="4" name="Memória de Cálculo"/>
  </tableColumns>
  <tableStyleInfo name="Encarregado-style 7" showFirstColumn="1" showLastColumn="1" showRowStripes="1" showColumnStripes="0"/>
</table>
</file>

<file path=xl/tables/table70.xml><?xml version="1.0" encoding="utf-8"?>
<table xmlns="http://schemas.openxmlformats.org/spreadsheetml/2006/main" id="93" name="Table_93" displayName="Table_93" ref="A96:D101">
  <tableColumns count="4">
    <tableColumn id="1" name="5"/>
    <tableColumn id="2" name="Insumos Diversos"/>
    <tableColumn id="3" name="Comentário"/>
    <tableColumn id="4" name="Valor"/>
  </tableColumns>
  <tableStyleInfo name="Operador de Fotocopiadora-style 5" showFirstColumn="1" showLastColumn="1" showRowStripes="1" showColumnStripes="0"/>
</table>
</file>

<file path=xl/tables/table71.xml><?xml version="1.0" encoding="utf-8"?>
<table xmlns="http://schemas.openxmlformats.org/spreadsheetml/2006/main" id="94" name="Table_94" displayName="Table_94" ref="A43:D49">
  <tableColumns count="4">
    <tableColumn id="1" name="2.3"/>
    <tableColumn id="2" name="Benefícios Mensais e Diários"/>
    <tableColumn id="3" name="Comentário"/>
    <tableColumn id="4" name="Valor"/>
  </tableColumns>
  <tableStyleInfo name="Operador de Fotocopiadora-style 6" showFirstColumn="1" showLastColumn="1" showRowStripes="1" showColumnStripes="0"/>
</table>
</file>

<file path=xl/tables/table72.xml><?xml version="1.0" encoding="utf-8"?>
<table xmlns="http://schemas.openxmlformats.org/spreadsheetml/2006/main" id="95" name="Table_95" displayName="Table_95" ref="A31:D40">
  <tableColumns count="4">
    <tableColumn id="1" name="2.2"/>
    <tableColumn id="2" name="GPS, FGTS e outras contribuições"/>
    <tableColumn id="3" name="Percentual"/>
    <tableColumn id="4" name="Valor "/>
  </tableColumns>
  <tableStyleInfo name="Operador de Fotocopiadora-style 7" showFirstColumn="1" showLastColumn="1" showRowStripes="1" showColumnStripes="0"/>
</table>
</file>

<file path=xl/tables/table73.xml><?xml version="1.0" encoding="utf-8"?>
<table xmlns="http://schemas.openxmlformats.org/spreadsheetml/2006/main" id="96" name="Table_96" displayName="Table_96" ref="A75:D82">
  <tableColumns count="4">
    <tableColumn id="1" name="4.1"/>
    <tableColumn id="2" name="Substituto nas Ausências Legais"/>
    <tableColumn id="3" name="Dias de ausência"/>
    <tableColumn id="4" name="Valor"/>
  </tableColumns>
  <tableStyleInfo name="Operador de Fotocopiadora-style 8" showFirstColumn="1" showLastColumn="1" showRowStripes="1" showColumnStripes="0"/>
</table>
</file>

<file path=xl/tables/table74.xml><?xml version="1.0" encoding="utf-8"?>
<table xmlns="http://schemas.openxmlformats.org/spreadsheetml/2006/main" id="97" name="Table_97" displayName="Table_97" ref="A52:D56">
  <tableColumns count="4">
    <tableColumn id="1" name="2"/>
    <tableColumn id="2" name="Encargos e Benefícios Anuais, Mensais e Diários"/>
    <tableColumn id="3" name="Comentário"/>
    <tableColumn id="4" name="Valor"/>
  </tableColumns>
  <tableStyleInfo name="Operador de Fotocopiadora-style 9" showFirstColumn="1" showLastColumn="1" showRowStripes="1" showColumnStripes="0"/>
</table>
</file>

<file path=xl/tables/table75.xml><?xml version="1.0" encoding="utf-8"?>
<table xmlns="http://schemas.openxmlformats.org/spreadsheetml/2006/main" id="98" name="Table_98" displayName="Table_98" ref="A59:D66">
  <tableColumns count="4">
    <tableColumn id="1" name="3"/>
    <tableColumn id="2" name="Provisão para Rescisão"/>
    <tableColumn id="3" name="Comentário"/>
    <tableColumn id="4" name="Valor"/>
  </tableColumns>
  <tableStyleInfo name="Operador de Fotocopiadora-style 10" showFirstColumn="1" showLastColumn="1" showRowStripes="1" showColumnStripes="0"/>
</table>
</file>

<file path=xl/tables/table76.xml><?xml version="1.0" encoding="utf-8"?>
<table xmlns="http://schemas.openxmlformats.org/spreadsheetml/2006/main" id="99" name="Table_99" displayName="Table_99" ref="A21:D24">
  <tableColumns count="4">
    <tableColumn id="1" name="2.1"/>
    <tableColumn id="2" name="13º (décimo terceiro) Salário e Adicional de Férias"/>
    <tableColumn id="3" name="Comentário"/>
    <tableColumn id="4" name="Valor"/>
  </tableColumns>
  <tableStyleInfo name="Operador de Fotocopiadora-style 11" showFirstColumn="1" showLastColumn="1" showRowStripes="1" showColumnStripes="0"/>
</table>
</file>

<file path=xl/tables/table77.xml><?xml version="1.0" encoding="utf-8"?>
<table xmlns="http://schemas.openxmlformats.org/spreadsheetml/2006/main" id="100" name="Table_100" displayName="Table_100" ref="A10:D17">
  <tableColumns count="4">
    <tableColumn id="1" name="1"/>
    <tableColumn id="2" name="Composição da Remuneração"/>
    <tableColumn id="3" name="Comentário"/>
    <tableColumn id="4" name="Valor"/>
  </tableColumns>
  <tableStyleInfo name="Operador de Fotocopiadora-style 12" showFirstColumn="1" showLastColumn="1" showRowStripes="1" showColumnStripes="0"/>
</table>
</file>

<file path=xl/tables/table78.xml><?xml version="1.0" encoding="utf-8"?>
<table xmlns="http://schemas.openxmlformats.org/spreadsheetml/2006/main" id="101" name="Table_101" displayName="Table_101" ref="F2:G7">
  <tableColumns count="2">
    <tableColumn id="1" name="Descrição"/>
    <tableColumn id="2" name="Valor"/>
  </tableColumns>
  <tableStyleInfo name="Operador de Fotocopiadora-style 13" showFirstColumn="1" showLastColumn="1" showRowStripes="1" showColumnStripes="0"/>
</table>
</file>

<file path=xl/tables/table79.xml><?xml version="1.0" encoding="utf-8"?>
<table xmlns="http://schemas.openxmlformats.org/spreadsheetml/2006/main" id="102" name="Table_102" displayName="Table_102" ref="A2:D7">
  <tableColumns count="4">
    <tableColumn id="1" name="Item"/>
    <tableColumn id="2" name="Descrição"/>
    <tableColumn id="3" name="Comentário"/>
    <tableColumn id="4" name="Valor"/>
  </tableColumns>
  <tableStyleInfo name="Operador de Fotocopiadora-style 14" showFirstColumn="1" showLastColumn="1" showRowStripes="1" showColumnStripes="0"/>
</table>
</file>

<file path=xl/tables/table8.xml><?xml version="1.0" encoding="utf-8"?>
<table xmlns="http://schemas.openxmlformats.org/spreadsheetml/2006/main" id="31" name="Table_31" displayName="Table_31" ref="A79:D85">
  <tableColumns count="4">
    <tableColumn id="1" name="Item"/>
    <tableColumn id="2" name="Rubrica"/>
    <tableColumn id="3" name="Base de Cálculo"/>
    <tableColumn id="4" name="Memória de Cálculo"/>
  </tableColumns>
  <tableStyleInfo name="Encarregado-style 8" showFirstColumn="1" showLastColumn="1" showRowStripes="1" showColumnStripes="0"/>
</table>
</file>

<file path=xl/tables/table80.xml><?xml version="1.0" encoding="utf-8"?>
<table xmlns="http://schemas.openxmlformats.org/spreadsheetml/2006/main" id="103" name="Table_103" displayName="Table_103" ref="A90:D93">
  <tableColumns count="4">
    <tableColumn id="1" name="4"/>
    <tableColumn id="2" name="Custo de Reposição do Profissional Ausente"/>
    <tableColumn id="3" name="Comentário"/>
    <tableColumn id="4" name="Valor"/>
  </tableColumns>
  <tableStyleInfo name="Copeiro-style" showFirstColumn="1" showLastColumn="1" showRowStripes="1" showColumnStripes="0"/>
</table>
</file>

<file path=xl/tables/table81.xml><?xml version="1.0" encoding="utf-8"?>
<table xmlns="http://schemas.openxmlformats.org/spreadsheetml/2006/main" id="104" name="Table_104" displayName="Table_104" ref="A96:D101">
  <tableColumns count="4">
    <tableColumn id="1" name="5"/>
    <tableColumn id="2" name="Insumos Diversos"/>
    <tableColumn id="3" name="Comentário"/>
    <tableColumn id="4" name="Valor"/>
  </tableColumns>
  <tableStyleInfo name="Copeiro-style 2" showFirstColumn="1" showLastColumn="1" showRowStripes="1" showColumnStripes="0"/>
</table>
</file>

<file path=xl/tables/table82.xml><?xml version="1.0" encoding="utf-8"?>
<table xmlns="http://schemas.openxmlformats.org/spreadsheetml/2006/main" id="105" name="Table_105" displayName="Table_105" ref="A31:D40">
  <tableColumns count="4">
    <tableColumn id="1" name="2.2"/>
    <tableColumn id="2" name="GPS, FGTS e outras contribuições"/>
    <tableColumn id="3" name="Percentual"/>
    <tableColumn id="4" name="Valor "/>
  </tableColumns>
  <tableStyleInfo name="Copeiro-style 3" showFirstColumn="1" showLastColumn="1" showRowStripes="1" showColumnStripes="0"/>
</table>
</file>

<file path=xl/tables/table83.xml><?xml version="1.0" encoding="utf-8"?>
<table xmlns="http://schemas.openxmlformats.org/spreadsheetml/2006/main" id="106" name="Table_106" displayName="Table_106" ref="A43:D49">
  <tableColumns count="4">
    <tableColumn id="1" name="2.3"/>
    <tableColumn id="2" name="Benefícios Mensais e Diários"/>
    <tableColumn id="3" name="Comentário"/>
    <tableColumn id="4" name="Valor"/>
  </tableColumns>
  <tableStyleInfo name="Copeiro-style 4" showFirstColumn="1" showLastColumn="1" showRowStripes="1" showColumnStripes="0"/>
</table>
</file>

<file path=xl/tables/table84.xml><?xml version="1.0" encoding="utf-8"?>
<table xmlns="http://schemas.openxmlformats.org/spreadsheetml/2006/main" id="107" name="Table_107" displayName="Table_107" ref="A52:D56">
  <tableColumns count="4">
    <tableColumn id="1" name="2"/>
    <tableColumn id="2" name="Encargos e Benefícios Anuais, Mensais e Diários"/>
    <tableColumn id="3" name="Comentário"/>
    <tableColumn id="4" name="Valor"/>
  </tableColumns>
  <tableStyleInfo name="Copeiro-style 5" showFirstColumn="1" showLastColumn="1" showRowStripes="1" showColumnStripes="0"/>
</table>
</file>

<file path=xl/tables/table85.xml><?xml version="1.0" encoding="utf-8"?>
<table xmlns="http://schemas.openxmlformats.org/spreadsheetml/2006/main" id="108" name="Table_108" displayName="Table_108" ref="A59:D66">
  <tableColumns count="4">
    <tableColumn id="1" name="3"/>
    <tableColumn id="2" name="Provisão para Rescisão"/>
    <tableColumn id="3" name="Comentário"/>
    <tableColumn id="4" name="Valor"/>
  </tableColumns>
  <tableStyleInfo name="Copeiro-style 6" showFirstColumn="1" showLastColumn="1" showRowStripes="1" showColumnStripes="0"/>
</table>
</file>

<file path=xl/tables/table86.xml><?xml version="1.0" encoding="utf-8"?>
<table xmlns="http://schemas.openxmlformats.org/spreadsheetml/2006/main" id="109" name="Table_109" displayName="Table_109" ref="A75:D82">
  <tableColumns count="4">
    <tableColumn id="1" name="4.1"/>
    <tableColumn id="2" name="Substituto nas Ausências Legais"/>
    <tableColumn id="3" name="Dias de ausência"/>
    <tableColumn id="4" name="Valor"/>
  </tableColumns>
  <tableStyleInfo name="Copeiro-style 7" showFirstColumn="1" showLastColumn="1" showRowStripes="1" showColumnStripes="0"/>
</table>
</file>

<file path=xl/tables/table87.xml><?xml version="1.0" encoding="utf-8"?>
<table xmlns="http://schemas.openxmlformats.org/spreadsheetml/2006/main" id="110" name="Table_110" displayName="Table_110" ref="A2:D7">
  <tableColumns count="4">
    <tableColumn id="1" name="Item"/>
    <tableColumn id="2" name="Descrição"/>
    <tableColumn id="3" name="Comentário"/>
    <tableColumn id="4" name="Valor"/>
  </tableColumns>
  <tableStyleInfo name="Copeiro-style 8" showFirstColumn="1" showLastColumn="1" showRowStripes="1" showColumnStripes="0"/>
</table>
</file>

<file path=xl/tables/table88.xml><?xml version="1.0" encoding="utf-8"?>
<table xmlns="http://schemas.openxmlformats.org/spreadsheetml/2006/main" id="111" name="Table_111" displayName="Table_111" ref="A111:D118">
  <tableColumns count="4">
    <tableColumn id="1" name="6"/>
    <tableColumn id="2" name="Custos Indiretos, Tributos e Lucro"/>
    <tableColumn id="3" name="Percentual"/>
    <tableColumn id="4" name="Valor"/>
  </tableColumns>
  <tableStyleInfo name="Copeiro-style 9" showFirstColumn="1" showLastColumn="1" showRowStripes="1" showColumnStripes="0"/>
</table>
</file>

<file path=xl/tables/table89.xml><?xml version="1.0" encoding="utf-8"?>
<table xmlns="http://schemas.openxmlformats.org/spreadsheetml/2006/main" id="112" name="Table_112" displayName="Table_112" ref="F2:G7">
  <tableColumns count="2">
    <tableColumn id="1" name="Descrição"/>
    <tableColumn id="2" name="Valor"/>
  </tableColumns>
  <tableStyleInfo name="Copeiro-style 10" showFirstColumn="1" showLastColumn="1" showRowStripes="1" showColumnStripes="0"/>
</table>
</file>

<file path=xl/tables/table9.xml><?xml version="1.0" encoding="utf-8"?>
<table xmlns="http://schemas.openxmlformats.org/spreadsheetml/2006/main" id="32" name="Table_32" displayName="Table_32" ref="A105:D107">
  <tableColumns count="4">
    <tableColumn id="1" name="4.2"/>
    <tableColumn id="2" name="Substituto na Intrajornada "/>
    <tableColumn id="3" name="Comentário"/>
    <tableColumn id="4" name="Valor"/>
  </tableColumns>
  <tableStyleInfo name="Encarregado-style 9" showFirstColumn="1" showLastColumn="1" showRowStripes="1" showColumnStripes="0"/>
</table>
</file>

<file path=xl/tables/table90.xml><?xml version="1.0" encoding="utf-8"?>
<table xmlns="http://schemas.openxmlformats.org/spreadsheetml/2006/main" id="113" name="Table_113" displayName="Table_113" ref="A10:D17">
  <tableColumns count="4">
    <tableColumn id="1" name="1"/>
    <tableColumn id="2" name="Composição da Remuneração"/>
    <tableColumn id="3" name="Comentário"/>
    <tableColumn id="4" name="Valor"/>
  </tableColumns>
  <tableStyleInfo name="Copeiro-style 11" showFirstColumn="1" showLastColumn="1" showRowStripes="1" showColumnStripes="0"/>
</table>
</file>

<file path=xl/tables/table91.xml><?xml version="1.0" encoding="utf-8"?>
<table xmlns="http://schemas.openxmlformats.org/spreadsheetml/2006/main" id="114" name="Table_114" displayName="Table_114" ref="A21:D24">
  <tableColumns count="4">
    <tableColumn id="1" name="2.1"/>
    <tableColumn id="2" name="13º (décimo terceiro) Salário e Adicional de Férias"/>
    <tableColumn id="3" name="Comentário"/>
    <tableColumn id="4" name="Valor"/>
  </tableColumns>
  <tableStyleInfo name="Copeiro-style 12" showFirstColumn="1" showLastColumn="1" showRowStripes="1" showColumnStripes="0"/>
</table>
</file>

<file path=xl/tables/table92.xml><?xml version="1.0" encoding="utf-8"?>
<table xmlns="http://schemas.openxmlformats.org/spreadsheetml/2006/main" id="115" name="Table_115" displayName="Table_115" ref="A121:D129">
  <tableColumns count="4">
    <tableColumn id="1" name="Item"/>
    <tableColumn id="2" name="Mão de obra vinculada à execução contratual"/>
    <tableColumn id="3" name="-"/>
    <tableColumn id="4" name="Valor"/>
  </tableColumns>
  <tableStyleInfo name="Copeiro-style 13" showFirstColumn="1" showLastColumn="1" showRowStripes="1" showColumnStripes="0"/>
</table>
</file>

<file path=xl/tables/table93.xml><?xml version="1.0" encoding="utf-8"?>
<table xmlns="http://schemas.openxmlformats.org/spreadsheetml/2006/main" id="116" name="Table_116" displayName="Table_116" ref="A85:D87">
  <tableColumns count="4">
    <tableColumn id="1" name="4.2"/>
    <tableColumn id="2" name="Substituto na Intrajornada "/>
    <tableColumn id="3" name="Comentário"/>
    <tableColumn id="4" name="Valor"/>
  </tableColumns>
  <tableStyleInfo name="Copeiro-style 14" showFirstColumn="1" showLastColumn="1" showRowStripes="1" showColumnStripes="0"/>
</table>
</file>

<file path=xl/tables/table94.xml><?xml version="1.0" encoding="utf-8"?>
<table xmlns="http://schemas.openxmlformats.org/spreadsheetml/2006/main" id="117" name="Table_117" displayName="Table_117" ref="A85:D87">
  <tableColumns count="4">
    <tableColumn id="1" name="4.2"/>
    <tableColumn id="2" name="Substituto na Intrajornada "/>
    <tableColumn id="3" name="Comentário"/>
    <tableColumn id="4" name="Valor"/>
  </tableColumns>
  <tableStyleInfo name="Mont. Equip. Elet.-style" showFirstColumn="1" showLastColumn="1" showRowStripes="1" showColumnStripes="0"/>
</table>
</file>

<file path=xl/tables/table95.xml><?xml version="1.0" encoding="utf-8"?>
<table xmlns="http://schemas.openxmlformats.org/spreadsheetml/2006/main" id="118" name="Table_118" displayName="Table_118" ref="A96:D101">
  <tableColumns count="4">
    <tableColumn id="1" name="5"/>
    <tableColumn id="2" name="Insumos Diversos"/>
    <tableColumn id="3" name="Comentário"/>
    <tableColumn id="4" name="Valor"/>
  </tableColumns>
  <tableStyleInfo name="Mont. Equip. Elet.-style 2" showFirstColumn="1" showLastColumn="1" showRowStripes="1" showColumnStripes="0"/>
</table>
</file>

<file path=xl/tables/table96.xml><?xml version="1.0" encoding="utf-8"?>
<table xmlns="http://schemas.openxmlformats.org/spreadsheetml/2006/main" id="119" name="Table_119" displayName="Table_119" ref="A90:D93">
  <tableColumns count="4">
    <tableColumn id="1" name="4"/>
    <tableColumn id="2" name="Custo de Reposição do Profissional Ausente"/>
    <tableColumn id="3" name="Comentário"/>
    <tableColumn id="4" name="Valor"/>
  </tableColumns>
  <tableStyleInfo name="Mont. Equip. Elet.-style 3" showFirstColumn="1" showLastColumn="1" showRowStripes="1" showColumnStripes="0"/>
</table>
</file>

<file path=xl/tables/table97.xml><?xml version="1.0" encoding="utf-8"?>
<table xmlns="http://schemas.openxmlformats.org/spreadsheetml/2006/main" id="120" name="Table_120" displayName="Table_120" ref="A2:D7">
  <tableColumns count="4">
    <tableColumn id="1" name="Item"/>
    <tableColumn id="2" name="Descrição"/>
    <tableColumn id="3" name="Comentário"/>
    <tableColumn id="4" name="Valor"/>
  </tableColumns>
  <tableStyleInfo name="Mont. Equip. Elet.-style 4" showFirstColumn="1" showLastColumn="1" showRowStripes="1" showColumnStripes="0"/>
</table>
</file>

<file path=xl/tables/table98.xml><?xml version="1.0" encoding="utf-8"?>
<table xmlns="http://schemas.openxmlformats.org/spreadsheetml/2006/main" id="121" name="Table_121" displayName="Table_121" ref="F2:G7">
  <tableColumns count="2">
    <tableColumn id="1" name="Descrição"/>
    <tableColumn id="2" name="Valor"/>
  </tableColumns>
  <tableStyleInfo name="Mont. Equip. Elet.-style 5" showFirstColumn="1" showLastColumn="1" showRowStripes="1" showColumnStripes="0"/>
</table>
</file>

<file path=xl/tables/table99.xml><?xml version="1.0" encoding="utf-8"?>
<table xmlns="http://schemas.openxmlformats.org/spreadsheetml/2006/main" id="122" name="Table_122" displayName="Table_122" ref="A21:D24">
  <tableColumns count="4">
    <tableColumn id="1" name="2.1"/>
    <tableColumn id="2" name="13º (décimo terceiro) Salário e Adicional de Férias"/>
    <tableColumn id="3" name="Comentário"/>
    <tableColumn id="4" name="Valor"/>
  </tableColumns>
  <tableStyleInfo name="Mont. Equip. Elet.-style 6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comments" Target="../comments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vmlDrawing" Target="../drawings/vmlDrawing1.v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8.xml"/><Relationship Id="rId13" Type="http://schemas.openxmlformats.org/officeDocument/2006/relationships/table" Target="../tables/table133.xml"/><Relationship Id="rId3" Type="http://schemas.openxmlformats.org/officeDocument/2006/relationships/table" Target="../tables/table123.xml"/><Relationship Id="rId7" Type="http://schemas.openxmlformats.org/officeDocument/2006/relationships/table" Target="../tables/table127.xml"/><Relationship Id="rId12" Type="http://schemas.openxmlformats.org/officeDocument/2006/relationships/table" Target="../tables/table132.xml"/><Relationship Id="rId2" Type="http://schemas.openxmlformats.org/officeDocument/2006/relationships/table" Target="../tables/table122.xml"/><Relationship Id="rId16" Type="http://schemas.openxmlformats.org/officeDocument/2006/relationships/comments" Target="../comments9.xml"/><Relationship Id="rId1" Type="http://schemas.openxmlformats.org/officeDocument/2006/relationships/vmlDrawing" Target="../drawings/vmlDrawing9.vml"/><Relationship Id="rId6" Type="http://schemas.openxmlformats.org/officeDocument/2006/relationships/table" Target="../tables/table126.xml"/><Relationship Id="rId11" Type="http://schemas.openxmlformats.org/officeDocument/2006/relationships/table" Target="../tables/table131.xml"/><Relationship Id="rId5" Type="http://schemas.openxmlformats.org/officeDocument/2006/relationships/table" Target="../tables/table125.xml"/><Relationship Id="rId15" Type="http://schemas.openxmlformats.org/officeDocument/2006/relationships/table" Target="../tables/table135.xml"/><Relationship Id="rId10" Type="http://schemas.openxmlformats.org/officeDocument/2006/relationships/table" Target="../tables/table130.xml"/><Relationship Id="rId4" Type="http://schemas.openxmlformats.org/officeDocument/2006/relationships/table" Target="../tables/table124.xml"/><Relationship Id="rId9" Type="http://schemas.openxmlformats.org/officeDocument/2006/relationships/table" Target="../tables/table129.xml"/><Relationship Id="rId14" Type="http://schemas.openxmlformats.org/officeDocument/2006/relationships/table" Target="../tables/table134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2.xml"/><Relationship Id="rId13" Type="http://schemas.openxmlformats.org/officeDocument/2006/relationships/table" Target="../tables/table147.xml"/><Relationship Id="rId3" Type="http://schemas.openxmlformats.org/officeDocument/2006/relationships/table" Target="../tables/table137.xml"/><Relationship Id="rId7" Type="http://schemas.openxmlformats.org/officeDocument/2006/relationships/table" Target="../tables/table141.xml"/><Relationship Id="rId12" Type="http://schemas.openxmlformats.org/officeDocument/2006/relationships/table" Target="../tables/table146.xml"/><Relationship Id="rId2" Type="http://schemas.openxmlformats.org/officeDocument/2006/relationships/table" Target="../tables/table136.xml"/><Relationship Id="rId16" Type="http://schemas.openxmlformats.org/officeDocument/2006/relationships/comments" Target="../comments10.xml"/><Relationship Id="rId1" Type="http://schemas.openxmlformats.org/officeDocument/2006/relationships/vmlDrawing" Target="../drawings/vmlDrawing10.vml"/><Relationship Id="rId6" Type="http://schemas.openxmlformats.org/officeDocument/2006/relationships/table" Target="../tables/table140.xml"/><Relationship Id="rId11" Type="http://schemas.openxmlformats.org/officeDocument/2006/relationships/table" Target="../tables/table145.xml"/><Relationship Id="rId5" Type="http://schemas.openxmlformats.org/officeDocument/2006/relationships/table" Target="../tables/table139.xml"/><Relationship Id="rId15" Type="http://schemas.openxmlformats.org/officeDocument/2006/relationships/table" Target="../tables/table149.xml"/><Relationship Id="rId10" Type="http://schemas.openxmlformats.org/officeDocument/2006/relationships/table" Target="../tables/table144.xml"/><Relationship Id="rId4" Type="http://schemas.openxmlformats.org/officeDocument/2006/relationships/table" Target="../tables/table138.xml"/><Relationship Id="rId9" Type="http://schemas.openxmlformats.org/officeDocument/2006/relationships/table" Target="../tables/table143.xml"/><Relationship Id="rId14" Type="http://schemas.openxmlformats.org/officeDocument/2006/relationships/table" Target="../tables/table148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6.xml"/><Relationship Id="rId13" Type="http://schemas.openxmlformats.org/officeDocument/2006/relationships/table" Target="../tables/table161.xml"/><Relationship Id="rId3" Type="http://schemas.openxmlformats.org/officeDocument/2006/relationships/table" Target="../tables/table151.xml"/><Relationship Id="rId7" Type="http://schemas.openxmlformats.org/officeDocument/2006/relationships/table" Target="../tables/table155.xml"/><Relationship Id="rId12" Type="http://schemas.openxmlformats.org/officeDocument/2006/relationships/table" Target="../tables/table160.xml"/><Relationship Id="rId2" Type="http://schemas.openxmlformats.org/officeDocument/2006/relationships/table" Target="../tables/table150.xml"/><Relationship Id="rId16" Type="http://schemas.openxmlformats.org/officeDocument/2006/relationships/comments" Target="../comments11.xml"/><Relationship Id="rId1" Type="http://schemas.openxmlformats.org/officeDocument/2006/relationships/vmlDrawing" Target="../drawings/vmlDrawing11.vml"/><Relationship Id="rId6" Type="http://schemas.openxmlformats.org/officeDocument/2006/relationships/table" Target="../tables/table154.xml"/><Relationship Id="rId11" Type="http://schemas.openxmlformats.org/officeDocument/2006/relationships/table" Target="../tables/table159.xml"/><Relationship Id="rId5" Type="http://schemas.openxmlformats.org/officeDocument/2006/relationships/table" Target="../tables/table153.xml"/><Relationship Id="rId15" Type="http://schemas.openxmlformats.org/officeDocument/2006/relationships/table" Target="../tables/table163.xml"/><Relationship Id="rId10" Type="http://schemas.openxmlformats.org/officeDocument/2006/relationships/table" Target="../tables/table158.xml"/><Relationship Id="rId4" Type="http://schemas.openxmlformats.org/officeDocument/2006/relationships/table" Target="../tables/table152.xml"/><Relationship Id="rId9" Type="http://schemas.openxmlformats.org/officeDocument/2006/relationships/table" Target="../tables/table157.xml"/><Relationship Id="rId14" Type="http://schemas.openxmlformats.org/officeDocument/2006/relationships/table" Target="../tables/table16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0.xml"/><Relationship Id="rId13" Type="http://schemas.openxmlformats.org/officeDocument/2006/relationships/table" Target="../tables/table35.xml"/><Relationship Id="rId3" Type="http://schemas.openxmlformats.org/officeDocument/2006/relationships/table" Target="../tables/table25.xml"/><Relationship Id="rId7" Type="http://schemas.openxmlformats.org/officeDocument/2006/relationships/table" Target="../tables/table29.xml"/><Relationship Id="rId12" Type="http://schemas.openxmlformats.org/officeDocument/2006/relationships/table" Target="../tables/table34.xml"/><Relationship Id="rId2" Type="http://schemas.openxmlformats.org/officeDocument/2006/relationships/table" Target="../tables/table24.xml"/><Relationship Id="rId16" Type="http://schemas.openxmlformats.org/officeDocument/2006/relationships/comments" Target="../comments2.xml"/><Relationship Id="rId1" Type="http://schemas.openxmlformats.org/officeDocument/2006/relationships/vmlDrawing" Target="../drawings/vmlDrawing2.vml"/><Relationship Id="rId6" Type="http://schemas.openxmlformats.org/officeDocument/2006/relationships/table" Target="../tables/table28.xml"/><Relationship Id="rId11" Type="http://schemas.openxmlformats.org/officeDocument/2006/relationships/table" Target="../tables/table33.xml"/><Relationship Id="rId5" Type="http://schemas.openxmlformats.org/officeDocument/2006/relationships/table" Target="../tables/table27.xml"/><Relationship Id="rId15" Type="http://schemas.openxmlformats.org/officeDocument/2006/relationships/table" Target="../tables/table37.xml"/><Relationship Id="rId10" Type="http://schemas.openxmlformats.org/officeDocument/2006/relationships/table" Target="../tables/table32.xml"/><Relationship Id="rId4" Type="http://schemas.openxmlformats.org/officeDocument/2006/relationships/table" Target="../tables/table26.xml"/><Relationship Id="rId9" Type="http://schemas.openxmlformats.org/officeDocument/2006/relationships/table" Target="../tables/table31.xml"/><Relationship Id="rId14" Type="http://schemas.openxmlformats.org/officeDocument/2006/relationships/table" Target="../tables/table3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4.xml"/><Relationship Id="rId13" Type="http://schemas.openxmlformats.org/officeDocument/2006/relationships/table" Target="../tables/table49.xml"/><Relationship Id="rId3" Type="http://schemas.openxmlformats.org/officeDocument/2006/relationships/table" Target="../tables/table39.xml"/><Relationship Id="rId7" Type="http://schemas.openxmlformats.org/officeDocument/2006/relationships/table" Target="../tables/table43.xml"/><Relationship Id="rId12" Type="http://schemas.openxmlformats.org/officeDocument/2006/relationships/table" Target="../tables/table48.xml"/><Relationship Id="rId2" Type="http://schemas.openxmlformats.org/officeDocument/2006/relationships/table" Target="../tables/table38.xml"/><Relationship Id="rId16" Type="http://schemas.openxmlformats.org/officeDocument/2006/relationships/comments" Target="../comments3.xml"/><Relationship Id="rId1" Type="http://schemas.openxmlformats.org/officeDocument/2006/relationships/vmlDrawing" Target="../drawings/vmlDrawing3.vml"/><Relationship Id="rId6" Type="http://schemas.openxmlformats.org/officeDocument/2006/relationships/table" Target="../tables/table42.xml"/><Relationship Id="rId11" Type="http://schemas.openxmlformats.org/officeDocument/2006/relationships/table" Target="../tables/table47.xml"/><Relationship Id="rId5" Type="http://schemas.openxmlformats.org/officeDocument/2006/relationships/table" Target="../tables/table41.xml"/><Relationship Id="rId15" Type="http://schemas.openxmlformats.org/officeDocument/2006/relationships/table" Target="../tables/table51.xml"/><Relationship Id="rId10" Type="http://schemas.openxmlformats.org/officeDocument/2006/relationships/table" Target="../tables/table46.xml"/><Relationship Id="rId4" Type="http://schemas.openxmlformats.org/officeDocument/2006/relationships/table" Target="../tables/table40.xml"/><Relationship Id="rId9" Type="http://schemas.openxmlformats.org/officeDocument/2006/relationships/table" Target="../tables/table45.xml"/><Relationship Id="rId14" Type="http://schemas.openxmlformats.org/officeDocument/2006/relationships/table" Target="../tables/table5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2" Type="http://schemas.openxmlformats.org/officeDocument/2006/relationships/table" Target="../tables/table52.xml"/><Relationship Id="rId16" Type="http://schemas.openxmlformats.org/officeDocument/2006/relationships/comments" Target="../comments4.xml"/><Relationship Id="rId1" Type="http://schemas.openxmlformats.org/officeDocument/2006/relationships/vmlDrawing" Target="../drawings/vmlDrawing4.v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2.xml"/><Relationship Id="rId13" Type="http://schemas.openxmlformats.org/officeDocument/2006/relationships/table" Target="../tables/table77.xml"/><Relationship Id="rId3" Type="http://schemas.openxmlformats.org/officeDocument/2006/relationships/table" Target="../tables/table67.xml"/><Relationship Id="rId7" Type="http://schemas.openxmlformats.org/officeDocument/2006/relationships/table" Target="../tables/table71.xml"/><Relationship Id="rId12" Type="http://schemas.openxmlformats.org/officeDocument/2006/relationships/table" Target="../tables/table76.xml"/><Relationship Id="rId2" Type="http://schemas.openxmlformats.org/officeDocument/2006/relationships/table" Target="../tables/table66.xml"/><Relationship Id="rId16" Type="http://schemas.openxmlformats.org/officeDocument/2006/relationships/comments" Target="../comments5.xml"/><Relationship Id="rId1" Type="http://schemas.openxmlformats.org/officeDocument/2006/relationships/vmlDrawing" Target="../drawings/vmlDrawing5.vml"/><Relationship Id="rId6" Type="http://schemas.openxmlformats.org/officeDocument/2006/relationships/table" Target="../tables/table70.xml"/><Relationship Id="rId11" Type="http://schemas.openxmlformats.org/officeDocument/2006/relationships/table" Target="../tables/table75.xml"/><Relationship Id="rId5" Type="http://schemas.openxmlformats.org/officeDocument/2006/relationships/table" Target="../tables/table69.xml"/><Relationship Id="rId15" Type="http://schemas.openxmlformats.org/officeDocument/2006/relationships/table" Target="../tables/table79.xml"/><Relationship Id="rId10" Type="http://schemas.openxmlformats.org/officeDocument/2006/relationships/table" Target="../tables/table74.xml"/><Relationship Id="rId4" Type="http://schemas.openxmlformats.org/officeDocument/2006/relationships/table" Target="../tables/table68.xml"/><Relationship Id="rId9" Type="http://schemas.openxmlformats.org/officeDocument/2006/relationships/table" Target="../tables/table73.xml"/><Relationship Id="rId14" Type="http://schemas.openxmlformats.org/officeDocument/2006/relationships/table" Target="../tables/table7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6.xml"/><Relationship Id="rId13" Type="http://schemas.openxmlformats.org/officeDocument/2006/relationships/table" Target="../tables/table91.xml"/><Relationship Id="rId3" Type="http://schemas.openxmlformats.org/officeDocument/2006/relationships/table" Target="../tables/table81.xml"/><Relationship Id="rId7" Type="http://schemas.openxmlformats.org/officeDocument/2006/relationships/table" Target="../tables/table85.xml"/><Relationship Id="rId12" Type="http://schemas.openxmlformats.org/officeDocument/2006/relationships/table" Target="../tables/table90.xml"/><Relationship Id="rId2" Type="http://schemas.openxmlformats.org/officeDocument/2006/relationships/table" Target="../tables/table80.xml"/><Relationship Id="rId16" Type="http://schemas.openxmlformats.org/officeDocument/2006/relationships/comments" Target="../comments6.xml"/><Relationship Id="rId1" Type="http://schemas.openxmlformats.org/officeDocument/2006/relationships/vmlDrawing" Target="../drawings/vmlDrawing6.vml"/><Relationship Id="rId6" Type="http://schemas.openxmlformats.org/officeDocument/2006/relationships/table" Target="../tables/table84.xml"/><Relationship Id="rId11" Type="http://schemas.openxmlformats.org/officeDocument/2006/relationships/table" Target="../tables/table89.xml"/><Relationship Id="rId5" Type="http://schemas.openxmlformats.org/officeDocument/2006/relationships/table" Target="../tables/table83.xml"/><Relationship Id="rId15" Type="http://schemas.openxmlformats.org/officeDocument/2006/relationships/table" Target="../tables/table93.xml"/><Relationship Id="rId10" Type="http://schemas.openxmlformats.org/officeDocument/2006/relationships/table" Target="../tables/table88.xml"/><Relationship Id="rId4" Type="http://schemas.openxmlformats.org/officeDocument/2006/relationships/table" Target="../tables/table82.xml"/><Relationship Id="rId9" Type="http://schemas.openxmlformats.org/officeDocument/2006/relationships/table" Target="../tables/table87.xml"/><Relationship Id="rId14" Type="http://schemas.openxmlformats.org/officeDocument/2006/relationships/table" Target="../tables/table92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0.xml"/><Relationship Id="rId13" Type="http://schemas.openxmlformats.org/officeDocument/2006/relationships/table" Target="../tables/table105.xml"/><Relationship Id="rId3" Type="http://schemas.openxmlformats.org/officeDocument/2006/relationships/table" Target="../tables/table95.xml"/><Relationship Id="rId7" Type="http://schemas.openxmlformats.org/officeDocument/2006/relationships/table" Target="../tables/table99.xml"/><Relationship Id="rId12" Type="http://schemas.openxmlformats.org/officeDocument/2006/relationships/table" Target="../tables/table104.xml"/><Relationship Id="rId2" Type="http://schemas.openxmlformats.org/officeDocument/2006/relationships/table" Target="../tables/table94.xml"/><Relationship Id="rId16" Type="http://schemas.openxmlformats.org/officeDocument/2006/relationships/comments" Target="../comments7.xml"/><Relationship Id="rId1" Type="http://schemas.openxmlformats.org/officeDocument/2006/relationships/vmlDrawing" Target="../drawings/vmlDrawing7.vml"/><Relationship Id="rId6" Type="http://schemas.openxmlformats.org/officeDocument/2006/relationships/table" Target="../tables/table98.xml"/><Relationship Id="rId11" Type="http://schemas.openxmlformats.org/officeDocument/2006/relationships/table" Target="../tables/table103.xml"/><Relationship Id="rId5" Type="http://schemas.openxmlformats.org/officeDocument/2006/relationships/table" Target="../tables/table97.xml"/><Relationship Id="rId15" Type="http://schemas.openxmlformats.org/officeDocument/2006/relationships/table" Target="../tables/table107.xml"/><Relationship Id="rId10" Type="http://schemas.openxmlformats.org/officeDocument/2006/relationships/table" Target="../tables/table102.xml"/><Relationship Id="rId4" Type="http://schemas.openxmlformats.org/officeDocument/2006/relationships/table" Target="../tables/table96.xml"/><Relationship Id="rId9" Type="http://schemas.openxmlformats.org/officeDocument/2006/relationships/table" Target="../tables/table101.xml"/><Relationship Id="rId14" Type="http://schemas.openxmlformats.org/officeDocument/2006/relationships/table" Target="../tables/table106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4.xml"/><Relationship Id="rId13" Type="http://schemas.openxmlformats.org/officeDocument/2006/relationships/table" Target="../tables/table119.xml"/><Relationship Id="rId3" Type="http://schemas.openxmlformats.org/officeDocument/2006/relationships/table" Target="../tables/table109.xml"/><Relationship Id="rId7" Type="http://schemas.openxmlformats.org/officeDocument/2006/relationships/table" Target="../tables/table113.xml"/><Relationship Id="rId12" Type="http://schemas.openxmlformats.org/officeDocument/2006/relationships/table" Target="../tables/table118.xml"/><Relationship Id="rId2" Type="http://schemas.openxmlformats.org/officeDocument/2006/relationships/table" Target="../tables/table108.xml"/><Relationship Id="rId16" Type="http://schemas.openxmlformats.org/officeDocument/2006/relationships/comments" Target="../comments8.xml"/><Relationship Id="rId1" Type="http://schemas.openxmlformats.org/officeDocument/2006/relationships/vmlDrawing" Target="../drawings/vmlDrawing8.vml"/><Relationship Id="rId6" Type="http://schemas.openxmlformats.org/officeDocument/2006/relationships/table" Target="../tables/table112.xml"/><Relationship Id="rId11" Type="http://schemas.openxmlformats.org/officeDocument/2006/relationships/table" Target="../tables/table117.xml"/><Relationship Id="rId5" Type="http://schemas.openxmlformats.org/officeDocument/2006/relationships/table" Target="../tables/table111.xml"/><Relationship Id="rId15" Type="http://schemas.openxmlformats.org/officeDocument/2006/relationships/table" Target="../tables/table121.xml"/><Relationship Id="rId10" Type="http://schemas.openxmlformats.org/officeDocument/2006/relationships/table" Target="../tables/table116.xml"/><Relationship Id="rId4" Type="http://schemas.openxmlformats.org/officeDocument/2006/relationships/table" Target="../tables/table110.xml"/><Relationship Id="rId9" Type="http://schemas.openxmlformats.org/officeDocument/2006/relationships/table" Target="../tables/table115.xml"/><Relationship Id="rId14" Type="http://schemas.openxmlformats.org/officeDocument/2006/relationships/table" Target="../tables/table120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00"/>
  <sheetViews>
    <sheetView showGridLines="0" workbookViewId="0"/>
  </sheetViews>
  <sheetFormatPr defaultColWidth="12.6640625" defaultRowHeight="15" customHeight="1" outlineLevelRow="1"/>
  <cols>
    <col min="1" max="1" width="10.9140625" customWidth="1"/>
    <col min="2" max="2" width="66.9140625" customWidth="1"/>
    <col min="3" max="3" width="24.9140625" customWidth="1"/>
    <col min="4" max="4" width="24" customWidth="1"/>
    <col min="5" max="5" width="7.9140625" customWidth="1"/>
    <col min="6" max="6" width="28.6640625" customWidth="1"/>
    <col min="7" max="7" width="11.4140625" customWidth="1"/>
    <col min="8" max="26" width="7.9140625" customWidth="1"/>
  </cols>
  <sheetData>
    <row r="1" spans="1:21" ht="14.25" customHeight="1">
      <c r="A1" s="110" t="s">
        <v>0</v>
      </c>
      <c r="B1" s="111"/>
      <c r="C1" s="111"/>
      <c r="D1" s="112"/>
      <c r="F1" s="113" t="s">
        <v>1</v>
      </c>
      <c r="G1" s="11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4.25" customHeight="1">
      <c r="A2" s="2" t="s">
        <v>2</v>
      </c>
      <c r="B2" s="3" t="s">
        <v>3</v>
      </c>
      <c r="C2" s="2" t="s">
        <v>4</v>
      </c>
      <c r="D2" s="2" t="s">
        <v>5</v>
      </c>
      <c r="F2" s="3" t="s">
        <v>3</v>
      </c>
      <c r="G2" s="3" t="s">
        <v>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4.25" customHeight="1">
      <c r="A3" s="2">
        <v>1</v>
      </c>
      <c r="B3" s="3" t="s">
        <v>6</v>
      </c>
      <c r="C3" s="2"/>
      <c r="D3" s="2" t="s">
        <v>7</v>
      </c>
      <c r="F3" s="3" t="s">
        <v>8</v>
      </c>
      <c r="G3" s="4">
        <v>3.8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4.25" customHeight="1">
      <c r="A4" s="2">
        <v>2</v>
      </c>
      <c r="B4" s="3" t="s">
        <v>9</v>
      </c>
      <c r="C4" s="2"/>
      <c r="D4" s="2" t="s">
        <v>10</v>
      </c>
      <c r="F4" s="3" t="s">
        <v>11</v>
      </c>
      <c r="G4" s="4">
        <v>14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4.25" customHeight="1">
      <c r="A5" s="2">
        <v>3</v>
      </c>
      <c r="B5" s="3" t="s">
        <v>12</v>
      </c>
      <c r="C5" s="2" t="s">
        <v>13</v>
      </c>
      <c r="D5" s="5">
        <v>1206.74</v>
      </c>
      <c r="F5" s="3" t="s">
        <v>14</v>
      </c>
      <c r="G5" s="6">
        <v>22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25" customHeight="1">
      <c r="A6" s="2">
        <v>4</v>
      </c>
      <c r="B6" s="3" t="s">
        <v>15</v>
      </c>
      <c r="C6" s="2" t="s">
        <v>16</v>
      </c>
      <c r="D6" s="2" t="s">
        <v>172</v>
      </c>
      <c r="F6" s="3" t="s">
        <v>17</v>
      </c>
      <c r="G6" s="7">
        <v>0.03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4.25" customHeight="1">
      <c r="A7" s="2">
        <v>5</v>
      </c>
      <c r="B7" s="3" t="s">
        <v>18</v>
      </c>
      <c r="C7" s="2"/>
      <c r="D7" s="2" t="s">
        <v>19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4.25" customHeight="1">
      <c r="F8" s="113" t="s">
        <v>20</v>
      </c>
      <c r="G8" s="11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4.25" customHeight="1">
      <c r="A9" s="115" t="s">
        <v>21</v>
      </c>
      <c r="B9" s="116"/>
      <c r="C9" s="116"/>
      <c r="D9" s="117"/>
      <c r="F9" s="3" t="s">
        <v>22</v>
      </c>
      <c r="G9" s="3" t="s">
        <v>23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4.25" customHeight="1">
      <c r="A10" s="2" t="s">
        <v>24</v>
      </c>
      <c r="B10" s="3" t="s">
        <v>25</v>
      </c>
      <c r="C10" s="2" t="s">
        <v>4</v>
      </c>
      <c r="D10" s="2" t="s">
        <v>5</v>
      </c>
      <c r="F10" s="3" t="s">
        <v>26</v>
      </c>
      <c r="G10" s="8">
        <v>0.43369999999999997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4.25" customHeight="1">
      <c r="A11" s="2" t="s">
        <v>27</v>
      </c>
      <c r="B11" s="3" t="s">
        <v>28</v>
      </c>
      <c r="C11" s="2"/>
      <c r="D11" s="9">
        <f>Encarregado!Salário_Normativo_da_Categoria_Profissional</f>
        <v>1206.74</v>
      </c>
      <c r="F11" s="3" t="s">
        <v>29</v>
      </c>
      <c r="G11" s="8">
        <v>0.43369999999999997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4.25" customHeight="1">
      <c r="A12" s="2" t="s">
        <v>30</v>
      </c>
      <c r="B12" s="3" t="s">
        <v>31</v>
      </c>
      <c r="C12" s="2"/>
      <c r="D12" s="9"/>
      <c r="F12" s="3" t="s">
        <v>32</v>
      </c>
      <c r="G12" s="8">
        <v>2.18E-2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4.25" customHeight="1">
      <c r="A13" s="2" t="s">
        <v>33</v>
      </c>
      <c r="B13" s="3" t="s">
        <v>34</v>
      </c>
      <c r="C13" s="2"/>
      <c r="D13" s="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4.25" customHeight="1">
      <c r="A14" s="2" t="s">
        <v>35</v>
      </c>
      <c r="B14" s="3" t="s">
        <v>36</v>
      </c>
      <c r="C14" s="2"/>
      <c r="D14" s="9"/>
      <c r="F14" s="113" t="s">
        <v>37</v>
      </c>
      <c r="G14" s="1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4.25" customHeight="1">
      <c r="A15" s="2" t="s">
        <v>38</v>
      </c>
      <c r="B15" s="3" t="s">
        <v>39</v>
      </c>
      <c r="C15" s="2"/>
      <c r="D15" s="9"/>
      <c r="F15" s="10" t="s">
        <v>3</v>
      </c>
      <c r="G15" s="10" t="s">
        <v>23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25" customHeight="1">
      <c r="A16" s="2" t="s">
        <v>40</v>
      </c>
      <c r="B16" s="3" t="s">
        <v>41</v>
      </c>
      <c r="C16" s="2"/>
      <c r="D16" s="9">
        <v>200</v>
      </c>
      <c r="F16" s="10" t="s">
        <v>42</v>
      </c>
      <c r="G16" s="11">
        <v>0.03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4.25" customHeight="1">
      <c r="A17" s="2" t="s">
        <v>43</v>
      </c>
      <c r="B17" s="3"/>
      <c r="C17" s="2"/>
      <c r="D17" s="9">
        <f>SUBTOTAL(109,Encarregado!$D$11:$D$16)</f>
        <v>1406.74</v>
      </c>
      <c r="F17" s="10" t="s">
        <v>44</v>
      </c>
      <c r="G17" s="11">
        <v>6.7900000000000002E-2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4.25" customHeight="1">
      <c r="F18" s="10" t="s">
        <v>45</v>
      </c>
      <c r="G18" s="8">
        <v>1.6500000000000001E-2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.25" customHeight="1">
      <c r="A19" s="118" t="s">
        <v>46</v>
      </c>
      <c r="B19" s="119"/>
      <c r="C19" s="119"/>
      <c r="D19" s="120"/>
      <c r="F19" s="10" t="s">
        <v>47</v>
      </c>
      <c r="G19" s="8">
        <v>7.5999999999999998E-2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25" customHeight="1">
      <c r="A20" s="113" t="s">
        <v>48</v>
      </c>
      <c r="B20" s="114"/>
      <c r="C20" s="114"/>
      <c r="D20" s="114"/>
      <c r="F20" s="10" t="s">
        <v>49</v>
      </c>
      <c r="G20" s="8">
        <v>0.05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.25" customHeight="1">
      <c r="A21" s="2" t="s">
        <v>50</v>
      </c>
      <c r="B21" s="3" t="s">
        <v>51</v>
      </c>
      <c r="C21" s="2" t="s">
        <v>4</v>
      </c>
      <c r="D21" s="2" t="s">
        <v>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.25" customHeight="1">
      <c r="A22" s="2" t="s">
        <v>27</v>
      </c>
      <c r="B22" s="3" t="s">
        <v>52</v>
      </c>
      <c r="C22" s="3"/>
      <c r="D22" s="9">
        <f>Encarregado!$D$17/12</f>
        <v>117.22833333333334</v>
      </c>
      <c r="F22" s="113" t="s">
        <v>53</v>
      </c>
      <c r="G22" s="11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4.25" customHeight="1">
      <c r="A23" s="2" t="s">
        <v>30</v>
      </c>
      <c r="B23" s="3" t="s">
        <v>54</v>
      </c>
      <c r="C23" s="3"/>
      <c r="D23" s="9">
        <f>(Encarregado!$D$17/12)*(1/3)</f>
        <v>39.076111111111111</v>
      </c>
      <c r="E23" s="12"/>
      <c r="F23" s="2" t="s">
        <v>3</v>
      </c>
      <c r="G23" s="2" t="s">
        <v>5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.25" customHeight="1">
      <c r="A24" s="2" t="s">
        <v>43</v>
      </c>
      <c r="B24" s="3"/>
      <c r="C24" s="3"/>
      <c r="D24" s="9">
        <f>SUBTOTAL(109,Encarregado!$D$22:$D$23)</f>
        <v>156.30444444444444</v>
      </c>
      <c r="F24" s="10" t="s">
        <v>55</v>
      </c>
      <c r="G24" s="13">
        <f>((D17+D24+(D17/12))*(100%+C41))/30</f>
        <v>76.620438666666658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4.25" customHeight="1">
      <c r="A25" s="14"/>
      <c r="D25" s="15"/>
      <c r="F25" s="10" t="s">
        <v>56</v>
      </c>
      <c r="G25" s="13">
        <f>((D17*(1+(1/3))*(100%+C41))/12)/30</f>
        <v>7.1274826666666664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4.25" customHeight="1">
      <c r="A26" s="121" t="s">
        <v>57</v>
      </c>
      <c r="B26" s="114"/>
      <c r="C26" s="114"/>
      <c r="D26" s="11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4.25" customHeight="1">
      <c r="A27" s="16" t="s">
        <v>2</v>
      </c>
      <c r="B27" s="16" t="s">
        <v>58</v>
      </c>
      <c r="C27" s="16" t="s">
        <v>59</v>
      </c>
      <c r="D27" s="17" t="s">
        <v>60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4.25" customHeight="1">
      <c r="A28" s="18" t="s">
        <v>27</v>
      </c>
      <c r="B28" s="19" t="s">
        <v>61</v>
      </c>
      <c r="C28" s="20" t="s">
        <v>62</v>
      </c>
      <c r="D28" s="19" t="s">
        <v>63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4.25" customHeight="1">
      <c r="A29" s="18" t="s">
        <v>30</v>
      </c>
      <c r="B29" s="21" t="s">
        <v>54</v>
      </c>
      <c r="C29" s="20" t="s">
        <v>62</v>
      </c>
      <c r="D29" s="19" t="s">
        <v>64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4.25" customHeight="1">
      <c r="A30" s="14"/>
      <c r="B30" s="14"/>
      <c r="C30" s="2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4.25" customHeight="1">
      <c r="A31" s="113" t="s">
        <v>65</v>
      </c>
      <c r="B31" s="114"/>
      <c r="C31" s="114"/>
      <c r="D31" s="114"/>
    </row>
    <row r="32" spans="1:21" ht="14.25" customHeight="1">
      <c r="A32" s="2" t="s">
        <v>66</v>
      </c>
      <c r="B32" s="3" t="s">
        <v>67</v>
      </c>
      <c r="C32" s="2" t="s">
        <v>23</v>
      </c>
      <c r="D32" s="2" t="s">
        <v>68</v>
      </c>
    </row>
    <row r="33" spans="1:4" ht="14.25" customHeight="1">
      <c r="A33" s="2" t="s">
        <v>27</v>
      </c>
      <c r="B33" s="3" t="s">
        <v>69</v>
      </c>
      <c r="C33" s="23">
        <v>0.2</v>
      </c>
      <c r="D33" s="9">
        <f>C33*(Encarregado!$D$17+Encarregado!$D$24)</f>
        <v>312.60888888888894</v>
      </c>
    </row>
    <row r="34" spans="1:4" ht="14.25" customHeight="1">
      <c r="A34" s="2" t="s">
        <v>30</v>
      </c>
      <c r="B34" s="3" t="s">
        <v>70</v>
      </c>
      <c r="C34" s="23">
        <v>2.5000000000000001E-2</v>
      </c>
      <c r="D34" s="9">
        <f>C34*(Encarregado!$D$17+Encarregado!$D$24)</f>
        <v>39.076111111111118</v>
      </c>
    </row>
    <row r="35" spans="1:4" ht="14.25" customHeight="1">
      <c r="A35" s="2" t="s">
        <v>33</v>
      </c>
      <c r="B35" s="3" t="s">
        <v>71</v>
      </c>
      <c r="C35" s="23">
        <f>Encarregado!G6</f>
        <v>0.03</v>
      </c>
      <c r="D35" s="9">
        <f>C35*(Encarregado!$D$17+Encarregado!$D$24)</f>
        <v>46.891333333333336</v>
      </c>
    </row>
    <row r="36" spans="1:4" ht="14.25" customHeight="1">
      <c r="A36" s="2" t="s">
        <v>35</v>
      </c>
      <c r="B36" s="3" t="s">
        <v>72</v>
      </c>
      <c r="C36" s="23">
        <v>1.4999999999999999E-2</v>
      </c>
      <c r="D36" s="9">
        <f>C36*(Encarregado!$D$17+Encarregado!$D$24)</f>
        <v>23.445666666666668</v>
      </c>
    </row>
    <row r="37" spans="1:4" ht="14.25" customHeight="1">
      <c r="A37" s="2" t="s">
        <v>38</v>
      </c>
      <c r="B37" s="3" t="s">
        <v>73</v>
      </c>
      <c r="C37" s="23">
        <v>0.01</v>
      </c>
      <c r="D37" s="9">
        <f>C37*(Encarregado!$D$17+Encarregado!$D$24)</f>
        <v>15.630444444444445</v>
      </c>
    </row>
    <row r="38" spans="1:4" ht="14.25" customHeight="1">
      <c r="A38" s="2" t="s">
        <v>40</v>
      </c>
      <c r="B38" s="3" t="s">
        <v>74</v>
      </c>
      <c r="C38" s="23">
        <v>6.0000000000000001E-3</v>
      </c>
      <c r="D38" s="9">
        <f>C38*(Encarregado!$D$17+Encarregado!$D$24)</f>
        <v>9.3782666666666668</v>
      </c>
    </row>
    <row r="39" spans="1:4" ht="14.25" customHeight="1">
      <c r="A39" s="2" t="s">
        <v>75</v>
      </c>
      <c r="B39" s="3" t="s">
        <v>76</v>
      </c>
      <c r="C39" s="23">
        <v>2E-3</v>
      </c>
      <c r="D39" s="9">
        <f>C39*(Encarregado!$D$17+Encarregado!$D$24)</f>
        <v>3.1260888888888889</v>
      </c>
    </row>
    <row r="40" spans="1:4" ht="14.25" customHeight="1">
      <c r="A40" s="2" t="s">
        <v>77</v>
      </c>
      <c r="B40" s="3" t="s">
        <v>78</v>
      </c>
      <c r="C40" s="23">
        <v>0.08</v>
      </c>
      <c r="D40" s="9">
        <f>C40*(Encarregado!$D$17+Encarregado!$D$24)</f>
        <v>125.04355555555556</v>
      </c>
    </row>
    <row r="41" spans="1:4" ht="14.25" customHeight="1">
      <c r="A41" s="2" t="s">
        <v>43</v>
      </c>
      <c r="B41" s="3"/>
      <c r="C41" s="23">
        <f>SUBTOTAL(109,Encarregado!$C$33:$C$40)</f>
        <v>0.36800000000000005</v>
      </c>
      <c r="D41" s="9">
        <v>575.20035555555603</v>
      </c>
    </row>
    <row r="42" spans="1:4" ht="14.25" customHeight="1">
      <c r="A42" s="14"/>
      <c r="C42" s="24"/>
      <c r="D42" s="15"/>
    </row>
    <row r="43" spans="1:4" ht="14.25" customHeight="1">
      <c r="A43" s="121" t="s">
        <v>79</v>
      </c>
      <c r="B43" s="114"/>
      <c r="C43" s="114"/>
      <c r="D43" s="114"/>
    </row>
    <row r="44" spans="1:4" ht="14.25" customHeight="1">
      <c r="A44" s="16" t="s">
        <v>2</v>
      </c>
      <c r="B44" s="16" t="s">
        <v>58</v>
      </c>
      <c r="C44" s="16" t="s">
        <v>59</v>
      </c>
      <c r="D44" s="17" t="s">
        <v>60</v>
      </c>
    </row>
    <row r="45" spans="1:4" ht="14.25" customHeight="1">
      <c r="A45" s="18" t="s">
        <v>80</v>
      </c>
      <c r="B45" s="19" t="s">
        <v>67</v>
      </c>
      <c r="C45" s="19" t="s">
        <v>81</v>
      </c>
      <c r="D45" s="19" t="s">
        <v>82</v>
      </c>
    </row>
    <row r="46" spans="1:4" ht="14.25" customHeight="1"/>
    <row r="47" spans="1:4" ht="14.25" customHeight="1">
      <c r="A47" s="113" t="s">
        <v>83</v>
      </c>
      <c r="B47" s="114"/>
      <c r="C47" s="114"/>
      <c r="D47" s="114"/>
    </row>
    <row r="48" spans="1:4" ht="14.25" customHeight="1">
      <c r="A48" s="2" t="s">
        <v>84</v>
      </c>
      <c r="B48" s="3" t="s">
        <v>85</v>
      </c>
      <c r="C48" s="2" t="s">
        <v>4</v>
      </c>
      <c r="D48" s="2" t="s">
        <v>5</v>
      </c>
    </row>
    <row r="49" spans="1:4" ht="14.25" customHeight="1">
      <c r="A49" s="2" t="s">
        <v>27</v>
      </c>
      <c r="B49" s="3" t="s">
        <v>86</v>
      </c>
      <c r="C49" s="3"/>
      <c r="D49" s="9">
        <f>IF(G3=0,0,(Encarregado!G3*2*Encarregado!G5)-(6%*Encarregado!_1A))</f>
        <v>94.795599999999993</v>
      </c>
    </row>
    <row r="50" spans="1:4" ht="14.25" customHeight="1">
      <c r="A50" s="2" t="s">
        <v>30</v>
      </c>
      <c r="B50" s="3" t="s">
        <v>87</v>
      </c>
      <c r="C50" s="3"/>
      <c r="D50" s="9">
        <f>(Encarregado!G4*Encarregado!G5)*80%</f>
        <v>246.4</v>
      </c>
    </row>
    <row r="51" spans="1:4" ht="14.25" customHeight="1">
      <c r="A51" s="2" t="s">
        <v>33</v>
      </c>
      <c r="B51" s="3" t="s">
        <v>88</v>
      </c>
      <c r="C51" s="3"/>
      <c r="D51" s="9"/>
    </row>
    <row r="52" spans="1:4" ht="14.25" customHeight="1">
      <c r="A52" s="2" t="s">
        <v>35</v>
      </c>
      <c r="B52" s="3" t="s">
        <v>89</v>
      </c>
      <c r="C52" s="3" t="s">
        <v>90</v>
      </c>
      <c r="D52" s="9">
        <v>4</v>
      </c>
    </row>
    <row r="53" spans="1:4" ht="14.25" customHeight="1">
      <c r="A53" s="2" t="s">
        <v>38</v>
      </c>
      <c r="B53" s="3" t="s">
        <v>91</v>
      </c>
      <c r="C53" s="3" t="s">
        <v>92</v>
      </c>
      <c r="D53" s="9">
        <v>15</v>
      </c>
    </row>
    <row r="54" spans="1:4" ht="14.25" customHeight="1">
      <c r="A54" s="2" t="s">
        <v>43</v>
      </c>
      <c r="B54" s="3"/>
      <c r="C54" s="3"/>
      <c r="D54" s="9">
        <f>SUBTOTAL(109,Encarregado!$D$49:$D$53)</f>
        <v>360.19560000000001</v>
      </c>
    </row>
    <row r="55" spans="1:4" ht="14.25" customHeight="1">
      <c r="A55" s="14"/>
      <c r="D55" s="15"/>
    </row>
    <row r="56" spans="1:4" ht="14.25" customHeight="1">
      <c r="A56" s="121" t="s">
        <v>93</v>
      </c>
      <c r="B56" s="114"/>
      <c r="C56" s="114"/>
      <c r="D56" s="114"/>
    </row>
    <row r="57" spans="1:4" ht="14.25" customHeight="1">
      <c r="A57" s="16" t="s">
        <v>2</v>
      </c>
      <c r="B57" s="16" t="s">
        <v>58</v>
      </c>
      <c r="C57" s="16" t="s">
        <v>59</v>
      </c>
      <c r="D57" s="16" t="s">
        <v>60</v>
      </c>
    </row>
    <row r="58" spans="1:4" ht="14.25" customHeight="1">
      <c r="A58" s="18" t="s">
        <v>27</v>
      </c>
      <c r="B58" s="19" t="s">
        <v>86</v>
      </c>
      <c r="C58" s="20" t="s">
        <v>94</v>
      </c>
      <c r="D58" s="20" t="s">
        <v>95</v>
      </c>
    </row>
    <row r="59" spans="1:4" ht="14.25" customHeight="1">
      <c r="A59" s="18" t="s">
        <v>30</v>
      </c>
      <c r="B59" s="21" t="s">
        <v>87</v>
      </c>
      <c r="C59" s="20" t="s">
        <v>94</v>
      </c>
      <c r="D59" s="20" t="s">
        <v>96</v>
      </c>
    </row>
    <row r="60" spans="1:4" ht="19.5" customHeight="1">
      <c r="A60" s="14"/>
      <c r="D60" s="15"/>
    </row>
    <row r="61" spans="1:4" ht="14.25" customHeight="1">
      <c r="A61" s="113" t="s">
        <v>97</v>
      </c>
      <c r="B61" s="114"/>
      <c r="C61" s="114"/>
      <c r="D61" s="114"/>
    </row>
    <row r="62" spans="1:4" ht="14.25" customHeight="1">
      <c r="A62" s="2" t="s">
        <v>98</v>
      </c>
      <c r="B62" s="3" t="s">
        <v>99</v>
      </c>
      <c r="C62" s="2" t="s">
        <v>4</v>
      </c>
      <c r="D62" s="2" t="s">
        <v>5</v>
      </c>
    </row>
    <row r="63" spans="1:4" ht="14.25" customHeight="1">
      <c r="A63" s="2" t="s">
        <v>50</v>
      </c>
      <c r="B63" s="3" t="s">
        <v>51</v>
      </c>
      <c r="C63" s="2"/>
      <c r="D63" s="9">
        <f>Encarregado!$D$24</f>
        <v>156.30444444444444</v>
      </c>
    </row>
    <row r="64" spans="1:4" ht="14.25" customHeight="1">
      <c r="A64" s="2" t="s">
        <v>66</v>
      </c>
      <c r="B64" s="3" t="s">
        <v>67</v>
      </c>
      <c r="C64" s="2"/>
      <c r="D64" s="9">
        <f>Encarregado!$D$41</f>
        <v>575.20035555555603</v>
      </c>
    </row>
    <row r="65" spans="1:4" ht="14.25" customHeight="1">
      <c r="A65" s="2" t="s">
        <v>84</v>
      </c>
      <c r="B65" s="3" t="s">
        <v>85</v>
      </c>
      <c r="C65" s="2"/>
      <c r="D65" s="9">
        <f>Encarregado!$D$54</f>
        <v>360.19560000000001</v>
      </c>
    </row>
    <row r="66" spans="1:4" ht="14.25" customHeight="1">
      <c r="A66" s="2" t="s">
        <v>43</v>
      </c>
      <c r="B66" s="3"/>
      <c r="C66" s="2"/>
      <c r="D66" s="9">
        <v>1091.7003999999999</v>
      </c>
    </row>
    <row r="67" spans="1:4" ht="14.25" customHeight="1"/>
    <row r="68" spans="1:4" ht="14.25" customHeight="1">
      <c r="A68" s="115" t="s">
        <v>100</v>
      </c>
      <c r="B68" s="116"/>
      <c r="C68" s="116"/>
      <c r="D68" s="117"/>
    </row>
    <row r="69" spans="1:4" ht="14.25" customHeight="1">
      <c r="A69" s="2" t="s">
        <v>101</v>
      </c>
      <c r="B69" s="3" t="s">
        <v>102</v>
      </c>
      <c r="C69" s="2" t="s">
        <v>4</v>
      </c>
      <c r="D69" s="2" t="s">
        <v>5</v>
      </c>
    </row>
    <row r="70" spans="1:4" ht="14.25" customHeight="1">
      <c r="A70" s="2" t="s">
        <v>27</v>
      </c>
      <c r="B70" s="3" t="s">
        <v>103</v>
      </c>
      <c r="C70" s="3"/>
      <c r="D70" s="9">
        <f>((Encarregado!$D$17+D63+D65)/12)*G10</f>
        <v>69.5091006062963</v>
      </c>
    </row>
    <row r="71" spans="1:4" ht="14.25" customHeight="1">
      <c r="A71" s="2" t="s">
        <v>30</v>
      </c>
      <c r="B71" s="3" t="s">
        <v>104</v>
      </c>
      <c r="C71" s="3"/>
      <c r="D71" s="9">
        <f>(D40/12)*Encarregado!G10</f>
        <v>4.5192825037037032</v>
      </c>
    </row>
    <row r="72" spans="1:4" ht="14.25" customHeight="1">
      <c r="A72" s="2" t="s">
        <v>33</v>
      </c>
      <c r="B72" s="3" t="s">
        <v>105</v>
      </c>
      <c r="C72" s="3"/>
      <c r="D72" s="9">
        <f>D40*50%*Encarregado!G10</f>
        <v>27.115695022222219</v>
      </c>
    </row>
    <row r="73" spans="1:4" ht="14.25" customHeight="1">
      <c r="A73" s="2" t="s">
        <v>35</v>
      </c>
      <c r="B73" s="3" t="s">
        <v>106</v>
      </c>
      <c r="C73" s="3"/>
      <c r="D73" s="9">
        <f>((Encarregado!$D$17+Encarregado!$D$66)/12)*G11</f>
        <v>90.297800123333317</v>
      </c>
    </row>
    <row r="74" spans="1:4" ht="14.25" customHeight="1">
      <c r="A74" s="2" t="s">
        <v>38</v>
      </c>
      <c r="B74" s="3" t="s">
        <v>107</v>
      </c>
      <c r="C74" s="3"/>
      <c r="D74" s="9">
        <f>D40*50%*Encarregado!G11</f>
        <v>27.115695022222219</v>
      </c>
    </row>
    <row r="75" spans="1:4" ht="14.25" customHeight="1">
      <c r="A75" s="2" t="s">
        <v>40</v>
      </c>
      <c r="B75" s="3" t="s">
        <v>108</v>
      </c>
      <c r="C75" s="3"/>
      <c r="D75" s="9">
        <f>-D63*Encarregado!G12</f>
        <v>-3.4074368888888888</v>
      </c>
    </row>
    <row r="76" spans="1:4" ht="14.25" customHeight="1">
      <c r="A76" s="2" t="s">
        <v>43</v>
      </c>
      <c r="B76" s="3"/>
      <c r="C76" s="3"/>
      <c r="D76" s="9">
        <v>215.150136388889</v>
      </c>
    </row>
    <row r="77" spans="1:4" ht="14.25" customHeight="1">
      <c r="A77" s="14"/>
      <c r="D77" s="15"/>
    </row>
    <row r="78" spans="1:4" ht="14.25" customHeight="1">
      <c r="A78" s="121" t="s">
        <v>109</v>
      </c>
      <c r="B78" s="114"/>
      <c r="C78" s="114"/>
      <c r="D78" s="114"/>
    </row>
    <row r="79" spans="1:4" ht="14.25" customHeight="1">
      <c r="A79" s="16" t="s">
        <v>2</v>
      </c>
      <c r="B79" s="16" t="s">
        <v>58</v>
      </c>
      <c r="C79" s="16" t="s">
        <v>59</v>
      </c>
      <c r="D79" s="16" t="s">
        <v>60</v>
      </c>
    </row>
    <row r="80" spans="1:4" ht="14.25" customHeight="1">
      <c r="A80" s="18" t="s">
        <v>27</v>
      </c>
      <c r="B80" s="19" t="s">
        <v>103</v>
      </c>
      <c r="C80" s="20" t="s">
        <v>110</v>
      </c>
      <c r="D80" s="20" t="s">
        <v>111</v>
      </c>
    </row>
    <row r="81" spans="1:5" ht="14.25" customHeight="1">
      <c r="A81" s="18" t="s">
        <v>30</v>
      </c>
      <c r="B81" s="21" t="s">
        <v>104</v>
      </c>
      <c r="C81" s="20" t="s">
        <v>112</v>
      </c>
      <c r="D81" s="20" t="s">
        <v>111</v>
      </c>
    </row>
    <row r="82" spans="1:5" ht="14.25" customHeight="1">
      <c r="A82" s="18" t="s">
        <v>33</v>
      </c>
      <c r="B82" s="21" t="s">
        <v>105</v>
      </c>
      <c r="C82" s="20" t="s">
        <v>112</v>
      </c>
      <c r="D82" s="25" t="s">
        <v>113</v>
      </c>
    </row>
    <row r="83" spans="1:5" ht="14.25" customHeight="1">
      <c r="A83" s="18" t="s">
        <v>35</v>
      </c>
      <c r="B83" s="26" t="s">
        <v>106</v>
      </c>
      <c r="C83" s="20" t="s">
        <v>114</v>
      </c>
      <c r="D83" s="25" t="s">
        <v>115</v>
      </c>
    </row>
    <row r="84" spans="1:5" ht="14.25" customHeight="1">
      <c r="A84" s="18" t="s">
        <v>38</v>
      </c>
      <c r="B84" s="26" t="s">
        <v>107</v>
      </c>
      <c r="C84" s="20" t="s">
        <v>112</v>
      </c>
      <c r="D84" s="25" t="s">
        <v>116</v>
      </c>
    </row>
    <row r="85" spans="1:5" ht="14.25" customHeight="1">
      <c r="A85" s="18" t="s">
        <v>40</v>
      </c>
      <c r="B85" s="26" t="s">
        <v>108</v>
      </c>
      <c r="C85" s="20" t="s">
        <v>117</v>
      </c>
      <c r="D85" s="25" t="s">
        <v>118</v>
      </c>
    </row>
    <row r="86" spans="1:5" ht="14.25" customHeight="1"/>
    <row r="87" spans="1:5" ht="14.25" customHeight="1">
      <c r="A87" s="122" t="s">
        <v>119</v>
      </c>
      <c r="B87" s="119"/>
      <c r="C87" s="119"/>
      <c r="D87" s="120"/>
    </row>
    <row r="88" spans="1:5" ht="14.25" customHeight="1">
      <c r="A88" s="113" t="s">
        <v>120</v>
      </c>
      <c r="B88" s="114"/>
      <c r="C88" s="114"/>
      <c r="D88" s="114"/>
    </row>
    <row r="89" spans="1:5" ht="14.25" customHeight="1">
      <c r="A89" s="2" t="s">
        <v>121</v>
      </c>
      <c r="B89" s="3" t="s">
        <v>122</v>
      </c>
      <c r="C89" s="2" t="s">
        <v>123</v>
      </c>
      <c r="D89" s="2" t="s">
        <v>5</v>
      </c>
    </row>
    <row r="90" spans="1:5" ht="14.25" customHeight="1">
      <c r="A90" s="2" t="s">
        <v>27</v>
      </c>
      <c r="B90" s="3" t="s">
        <v>124</v>
      </c>
      <c r="C90" s="2">
        <v>30</v>
      </c>
      <c r="D90" s="9">
        <f t="shared" ref="D90:D93" si="0">(C90*G$24)/12</f>
        <v>191.55109666666667</v>
      </c>
      <c r="E90" s="12"/>
    </row>
    <row r="91" spans="1:5" ht="14.25" customHeight="1">
      <c r="A91" s="2" t="s">
        <v>30</v>
      </c>
      <c r="B91" s="3" t="s">
        <v>125</v>
      </c>
      <c r="C91" s="2">
        <v>1.4180999999999999</v>
      </c>
      <c r="D91" s="9">
        <f t="shared" si="0"/>
        <v>9.0546203394333329</v>
      </c>
      <c r="E91" s="12"/>
    </row>
    <row r="92" spans="1:5" ht="14.25" customHeight="1">
      <c r="A92" s="2" t="s">
        <v>33</v>
      </c>
      <c r="B92" s="3" t="s">
        <v>126</v>
      </c>
      <c r="C92" s="2">
        <v>0.1898</v>
      </c>
      <c r="D92" s="9">
        <f t="shared" si="0"/>
        <v>1.2118799382444443</v>
      </c>
      <c r="E92" s="12"/>
    </row>
    <row r="93" spans="1:5" ht="14.25" customHeight="1">
      <c r="A93" s="2" t="s">
        <v>35</v>
      </c>
      <c r="B93" s="3" t="s">
        <v>127</v>
      </c>
      <c r="C93" s="2">
        <v>0.95450000000000002</v>
      </c>
      <c r="D93" s="9">
        <f t="shared" si="0"/>
        <v>6.0945173922777771</v>
      </c>
      <c r="E93" s="12"/>
    </row>
    <row r="94" spans="1:5" ht="14.25" customHeight="1">
      <c r="A94" s="2" t="s">
        <v>38</v>
      </c>
      <c r="B94" s="3" t="s">
        <v>128</v>
      </c>
      <c r="C94" s="2">
        <v>2.4723000000000002</v>
      </c>
      <c r="D94" s="9">
        <f>(C94*G$25)/12</f>
        <v>1.4684396164000002</v>
      </c>
      <c r="E94" s="12"/>
    </row>
    <row r="95" spans="1:5" ht="14.25" customHeight="1">
      <c r="A95" s="2" t="s">
        <v>40</v>
      </c>
      <c r="B95" s="3" t="s">
        <v>129</v>
      </c>
      <c r="C95" s="2">
        <v>3.4521000000000002</v>
      </c>
      <c r="D95" s="9">
        <f>(C95*G$24)/12</f>
        <v>22.041784693433332</v>
      </c>
      <c r="E95" s="12"/>
    </row>
    <row r="96" spans="1:5" ht="14.25" customHeight="1">
      <c r="A96" s="2" t="s">
        <v>43</v>
      </c>
      <c r="B96" s="3"/>
      <c r="C96" s="2">
        <f>SUBTOTAL(109,Encarregado!$C$90:$C$95)</f>
        <v>38.486800000000002</v>
      </c>
      <c r="D96" s="9">
        <f>SUBTOTAL(109,Encarregado!$D$90:$D$95)</f>
        <v>231.42233864645553</v>
      </c>
    </row>
    <row r="97" spans="1:4" ht="14.25" customHeight="1">
      <c r="A97" s="14"/>
      <c r="C97" s="14"/>
      <c r="D97" s="15"/>
    </row>
    <row r="98" spans="1:4" ht="14.25" customHeight="1">
      <c r="A98" s="121" t="s">
        <v>130</v>
      </c>
      <c r="B98" s="114"/>
      <c r="C98" s="114"/>
      <c r="D98" s="114"/>
    </row>
    <row r="99" spans="1:4" ht="14.25" customHeight="1">
      <c r="A99" s="16" t="s">
        <v>2</v>
      </c>
      <c r="B99" s="16" t="s">
        <v>58</v>
      </c>
      <c r="C99" s="16" t="s">
        <v>59</v>
      </c>
      <c r="D99" s="16" t="s">
        <v>60</v>
      </c>
    </row>
    <row r="100" spans="1:4" ht="14.25" customHeight="1">
      <c r="A100" s="18" t="s">
        <v>131</v>
      </c>
      <c r="B100" s="19" t="s">
        <v>132</v>
      </c>
      <c r="C100" s="20"/>
      <c r="D100" s="20"/>
    </row>
    <row r="101" spans="1:4" ht="14.25" customHeight="1">
      <c r="A101" s="18" t="s">
        <v>133</v>
      </c>
      <c r="B101" s="21" t="s">
        <v>134</v>
      </c>
      <c r="C101" s="20" t="s">
        <v>135</v>
      </c>
      <c r="D101" s="20" t="s">
        <v>136</v>
      </c>
    </row>
    <row r="102" spans="1:4" ht="14.25" customHeight="1">
      <c r="A102" s="18" t="s">
        <v>38</v>
      </c>
      <c r="B102" s="21" t="s">
        <v>137</v>
      </c>
      <c r="C102" s="20" t="s">
        <v>138</v>
      </c>
      <c r="D102" s="20" t="s">
        <v>136</v>
      </c>
    </row>
    <row r="103" spans="1:4" ht="14.25" customHeight="1">
      <c r="A103" s="14"/>
      <c r="C103" s="14"/>
      <c r="D103" s="15"/>
    </row>
    <row r="104" spans="1:4" ht="14.25" customHeight="1">
      <c r="A104" s="113" t="s">
        <v>139</v>
      </c>
      <c r="B104" s="114"/>
      <c r="C104" s="114"/>
      <c r="D104" s="114"/>
    </row>
    <row r="105" spans="1:4" ht="14.25" customHeight="1">
      <c r="A105" s="2" t="s">
        <v>140</v>
      </c>
      <c r="B105" s="3" t="s">
        <v>141</v>
      </c>
      <c r="C105" s="2" t="s">
        <v>4</v>
      </c>
      <c r="D105" s="2" t="s">
        <v>5</v>
      </c>
    </row>
    <row r="106" spans="1:4" ht="14.25" customHeight="1">
      <c r="A106" s="2" t="s">
        <v>27</v>
      </c>
      <c r="B106" s="3" t="s">
        <v>142</v>
      </c>
      <c r="C106" s="2"/>
      <c r="D106" s="9"/>
    </row>
    <row r="107" spans="1:4" ht="14.25" customHeight="1">
      <c r="A107" s="2" t="s">
        <v>43</v>
      </c>
      <c r="B107" s="3"/>
      <c r="C107" s="2"/>
      <c r="D107" s="9">
        <f>SUBTOTAL(109,Encarregado!$D$106)</f>
        <v>0</v>
      </c>
    </row>
    <row r="108" spans="1:4" ht="14.25" customHeight="1"/>
    <row r="109" spans="1:4" ht="14.25" customHeight="1">
      <c r="A109" s="113" t="s">
        <v>143</v>
      </c>
      <c r="B109" s="114"/>
      <c r="C109" s="114"/>
      <c r="D109" s="114"/>
    </row>
    <row r="110" spans="1:4" ht="14.25" customHeight="1">
      <c r="A110" s="2" t="s">
        <v>144</v>
      </c>
      <c r="B110" s="3" t="s">
        <v>145</v>
      </c>
      <c r="C110" s="2" t="s">
        <v>4</v>
      </c>
      <c r="D110" s="2" t="s">
        <v>5</v>
      </c>
    </row>
    <row r="111" spans="1:4" ht="14.25" customHeight="1">
      <c r="A111" s="2" t="s">
        <v>121</v>
      </c>
      <c r="B111" s="3" t="s">
        <v>122</v>
      </c>
      <c r="C111" s="3"/>
      <c r="D111" s="9">
        <f>Encarregado!$D$96</f>
        <v>231.42233864645553</v>
      </c>
    </row>
    <row r="112" spans="1:4" ht="14.25" customHeight="1">
      <c r="A112" s="2" t="s">
        <v>140</v>
      </c>
      <c r="B112" s="3" t="s">
        <v>146</v>
      </c>
      <c r="C112" s="3"/>
      <c r="D112" s="9">
        <f>Encarregado!$D$107</f>
        <v>0</v>
      </c>
    </row>
    <row r="113" spans="1:4" ht="14.25" customHeight="1">
      <c r="A113" s="2" t="s">
        <v>43</v>
      </c>
      <c r="B113" s="3"/>
      <c r="C113" s="3"/>
      <c r="D113" s="9">
        <f>SUBTOTAL(109,Encarregado!$D$111:$D$112)</f>
        <v>231.42233864645553</v>
      </c>
    </row>
    <row r="114" spans="1:4" ht="14.25" customHeight="1"/>
    <row r="115" spans="1:4" ht="14.25" customHeight="1">
      <c r="A115" s="115" t="s">
        <v>147</v>
      </c>
      <c r="B115" s="116"/>
      <c r="C115" s="116"/>
      <c r="D115" s="117"/>
    </row>
    <row r="116" spans="1:4" ht="14.25" customHeight="1">
      <c r="A116" s="2" t="s">
        <v>148</v>
      </c>
      <c r="B116" s="3" t="s">
        <v>149</v>
      </c>
      <c r="C116" s="2" t="s">
        <v>4</v>
      </c>
      <c r="D116" s="2" t="s">
        <v>5</v>
      </c>
    </row>
    <row r="117" spans="1:4" ht="14.25" customHeight="1">
      <c r="A117" s="2" t="s">
        <v>27</v>
      </c>
      <c r="B117" s="3" t="s">
        <v>150</v>
      </c>
      <c r="C117" s="3"/>
      <c r="D117" s="9" t="e">
        <f>#REF!</f>
        <v>#REF!</v>
      </c>
    </row>
    <row r="118" spans="1:4" ht="14.25" customHeight="1">
      <c r="A118" s="2" t="s">
        <v>30</v>
      </c>
      <c r="B118" s="3" t="s">
        <v>151</v>
      </c>
      <c r="C118" s="3"/>
      <c r="D118" s="9"/>
    </row>
    <row r="119" spans="1:4" ht="14.25" customHeight="1">
      <c r="A119" s="2" t="s">
        <v>33</v>
      </c>
      <c r="B119" s="3" t="s">
        <v>152</v>
      </c>
      <c r="C119" s="3"/>
      <c r="D119" s="9"/>
    </row>
    <row r="120" spans="1:4" ht="14.25" customHeight="1">
      <c r="A120" s="2" t="s">
        <v>35</v>
      </c>
      <c r="B120" s="3" t="s">
        <v>153</v>
      </c>
      <c r="C120" s="3"/>
      <c r="D120" s="9"/>
    </row>
    <row r="121" spans="1:4" ht="14.25" customHeight="1">
      <c r="A121" s="2" t="s">
        <v>43</v>
      </c>
      <c r="B121" s="3"/>
      <c r="C121" s="3"/>
      <c r="D121" s="9" t="e">
        <f>SUBTOTAL(109,Encarregado!$D$117:$D$120)</f>
        <v>#REF!</v>
      </c>
    </row>
    <row r="122" spans="1:4" ht="14.25" customHeight="1">
      <c r="A122" s="14"/>
      <c r="D122" s="15"/>
    </row>
    <row r="123" spans="1:4" ht="14.25" customHeight="1">
      <c r="A123" s="121" t="s">
        <v>154</v>
      </c>
      <c r="B123" s="114"/>
      <c r="C123" s="114"/>
      <c r="D123" s="114"/>
    </row>
    <row r="124" spans="1:4" ht="14.25" customHeight="1">
      <c r="A124" s="16" t="s">
        <v>2</v>
      </c>
      <c r="B124" s="16" t="s">
        <v>58</v>
      </c>
      <c r="C124" s="16" t="s">
        <v>59</v>
      </c>
      <c r="D124" s="16" t="s">
        <v>60</v>
      </c>
    </row>
    <row r="125" spans="1:4" ht="14.25" customHeight="1">
      <c r="A125" s="18" t="s">
        <v>27</v>
      </c>
      <c r="B125" s="19" t="s">
        <v>150</v>
      </c>
      <c r="C125" s="20" t="s">
        <v>155</v>
      </c>
      <c r="D125" s="20"/>
    </row>
    <row r="126" spans="1:4" ht="14.25" customHeight="1">
      <c r="A126" s="18" t="s">
        <v>30</v>
      </c>
      <c r="B126" s="21" t="s">
        <v>151</v>
      </c>
      <c r="C126" s="20" t="s">
        <v>156</v>
      </c>
      <c r="D126" s="20" t="s">
        <v>157</v>
      </c>
    </row>
    <row r="127" spans="1:4" ht="14.25" customHeight="1">
      <c r="A127" s="18" t="s">
        <v>33</v>
      </c>
      <c r="B127" s="21" t="s">
        <v>152</v>
      </c>
      <c r="C127" s="20" t="s">
        <v>158</v>
      </c>
      <c r="D127" s="20" t="s">
        <v>157</v>
      </c>
    </row>
    <row r="128" spans="1:4" ht="14.25" customHeight="1">
      <c r="A128" s="18" t="s">
        <v>35</v>
      </c>
      <c r="B128" s="21" t="s">
        <v>153</v>
      </c>
      <c r="C128" s="20"/>
      <c r="D128" s="20"/>
    </row>
    <row r="129" spans="1:4" ht="14.25" customHeight="1"/>
    <row r="130" spans="1:4" ht="14.25" customHeight="1">
      <c r="A130" s="115" t="s">
        <v>159</v>
      </c>
      <c r="B130" s="116"/>
      <c r="C130" s="116"/>
      <c r="D130" s="117"/>
    </row>
    <row r="131" spans="1:4" ht="14.25" customHeight="1" outlineLevel="1">
      <c r="A131" s="2" t="s">
        <v>160</v>
      </c>
      <c r="B131" s="3" t="s">
        <v>161</v>
      </c>
      <c r="C131" s="2" t="s">
        <v>23</v>
      </c>
      <c r="D131" s="2" t="s">
        <v>5</v>
      </c>
    </row>
    <row r="132" spans="1:4" ht="14.25" customHeight="1" outlineLevel="1">
      <c r="A132" s="2" t="s">
        <v>27</v>
      </c>
      <c r="B132" s="3" t="s">
        <v>162</v>
      </c>
      <c r="C132" s="23">
        <f t="shared" ref="C132:C133" si="1">G16</f>
        <v>0.03</v>
      </c>
      <c r="D132" s="9" t="e">
        <f>Encarregado!$C132*(D143+D144+D145+D146+D147)</f>
        <v>#REF!</v>
      </c>
    </row>
    <row r="133" spans="1:4" ht="14.25" customHeight="1" outlineLevel="1">
      <c r="A133" s="2" t="s">
        <v>30</v>
      </c>
      <c r="B133" s="3" t="s">
        <v>44</v>
      </c>
      <c r="C133" s="23">
        <f t="shared" si="1"/>
        <v>6.7900000000000002E-2</v>
      </c>
      <c r="D133" s="9" t="e">
        <f>(SUM(D143:D147)+D132)*Encarregado!$C133</f>
        <v>#REF!</v>
      </c>
    </row>
    <row r="134" spans="1:4" ht="14.25" customHeight="1">
      <c r="A134" s="2" t="s">
        <v>33</v>
      </c>
      <c r="B134" s="3" t="s">
        <v>163</v>
      </c>
      <c r="C134" s="23">
        <f>SUM(C135:C137)</f>
        <v>0.14250000000000002</v>
      </c>
      <c r="D134" s="9" t="e">
        <f>Encarregado!$C134*D150</f>
        <v>#REF!</v>
      </c>
    </row>
    <row r="135" spans="1:4" ht="14.25" customHeight="1">
      <c r="A135" s="2" t="s">
        <v>164</v>
      </c>
      <c r="B135" s="3" t="s">
        <v>45</v>
      </c>
      <c r="C135" s="23">
        <f t="shared" ref="C135:C137" si="2">G18</f>
        <v>1.6500000000000001E-2</v>
      </c>
      <c r="D135" s="9" t="e">
        <f>Encarregado!$C135*D150</f>
        <v>#REF!</v>
      </c>
    </row>
    <row r="136" spans="1:4" ht="14.25" customHeight="1">
      <c r="A136" s="2" t="s">
        <v>165</v>
      </c>
      <c r="B136" s="3" t="s">
        <v>47</v>
      </c>
      <c r="C136" s="23">
        <f t="shared" si="2"/>
        <v>7.5999999999999998E-2</v>
      </c>
      <c r="D136" s="9" t="e">
        <f>Encarregado!$C136*D150</f>
        <v>#REF!</v>
      </c>
    </row>
    <row r="137" spans="1:4" ht="14.25" customHeight="1">
      <c r="A137" s="2" t="s">
        <v>166</v>
      </c>
      <c r="B137" s="3" t="s">
        <v>49</v>
      </c>
      <c r="C137" s="23">
        <f t="shared" si="2"/>
        <v>0.05</v>
      </c>
      <c r="D137" s="9" t="e">
        <f>Encarregado!$C137*D150</f>
        <v>#REF!</v>
      </c>
    </row>
    <row r="138" spans="1:4" ht="14.25" customHeight="1">
      <c r="A138" s="2" t="s">
        <v>43</v>
      </c>
      <c r="B138" s="3"/>
      <c r="C138" s="2"/>
      <c r="D138" s="9" t="e">
        <f>SUM(D132:D134)</f>
        <v>#REF!</v>
      </c>
    </row>
    <row r="139" spans="1:4" ht="14.25" customHeight="1">
      <c r="A139" s="14"/>
      <c r="C139" s="14"/>
      <c r="D139" s="15"/>
    </row>
    <row r="140" spans="1:4" ht="14.25" customHeight="1"/>
    <row r="141" spans="1:4" ht="14.25" customHeight="1">
      <c r="A141" s="115" t="s">
        <v>167</v>
      </c>
      <c r="B141" s="116"/>
      <c r="C141" s="116"/>
      <c r="D141" s="117"/>
    </row>
    <row r="142" spans="1:4" ht="14.25" customHeight="1">
      <c r="A142" s="2" t="s">
        <v>2</v>
      </c>
      <c r="B142" s="2" t="s">
        <v>168</v>
      </c>
      <c r="C142" s="2" t="s">
        <v>94</v>
      </c>
      <c r="D142" s="2" t="s">
        <v>5</v>
      </c>
    </row>
    <row r="143" spans="1:4" ht="14.25" customHeight="1">
      <c r="A143" s="2" t="s">
        <v>27</v>
      </c>
      <c r="B143" s="3" t="s">
        <v>21</v>
      </c>
      <c r="C143" s="3"/>
      <c r="D143" s="9">
        <f>Encarregado!$D$17</f>
        <v>1406.74</v>
      </c>
    </row>
    <row r="144" spans="1:4" ht="14.25" customHeight="1">
      <c r="A144" s="2" t="s">
        <v>30</v>
      </c>
      <c r="B144" s="3" t="s">
        <v>46</v>
      </c>
      <c r="C144" s="3"/>
      <c r="D144" s="9">
        <f>Encarregado!$D$66</f>
        <v>1091.7003999999999</v>
      </c>
    </row>
    <row r="145" spans="1:4" ht="14.25" customHeight="1">
      <c r="A145" s="2" t="s">
        <v>33</v>
      </c>
      <c r="B145" s="3" t="s">
        <v>100</v>
      </c>
      <c r="C145" s="3"/>
      <c r="D145" s="9">
        <f>Encarregado!$D$76</f>
        <v>215.150136388889</v>
      </c>
    </row>
    <row r="146" spans="1:4" ht="14.25" customHeight="1">
      <c r="A146" s="2" t="s">
        <v>35</v>
      </c>
      <c r="B146" s="3" t="s">
        <v>169</v>
      </c>
      <c r="C146" s="3"/>
      <c r="D146" s="9">
        <f>Encarregado!$D$113</f>
        <v>231.42233864645553</v>
      </c>
    </row>
    <row r="147" spans="1:4" ht="14.25" customHeight="1">
      <c r="A147" s="2" t="s">
        <v>38</v>
      </c>
      <c r="B147" s="3" t="s">
        <v>147</v>
      </c>
      <c r="C147" s="3"/>
      <c r="D147" s="9" t="e">
        <f>Encarregado!$D$121</f>
        <v>#REF!</v>
      </c>
    </row>
    <row r="148" spans="1:4" ht="14.25" customHeight="1">
      <c r="A148" s="3" t="s">
        <v>170</v>
      </c>
      <c r="B148" s="3"/>
      <c r="C148" s="3"/>
      <c r="D148" s="9" t="e">
        <f>SUM(D143:D147)</f>
        <v>#REF!</v>
      </c>
    </row>
    <row r="149" spans="1:4" ht="14.25" customHeight="1">
      <c r="A149" s="2" t="s">
        <v>40</v>
      </c>
      <c r="B149" s="3" t="s">
        <v>159</v>
      </c>
      <c r="C149" s="3"/>
      <c r="D149" s="9" t="e">
        <f>Encarregado!$D$138</f>
        <v>#REF!</v>
      </c>
    </row>
    <row r="150" spans="1:4" ht="14.25" customHeight="1">
      <c r="A150" s="27" t="s">
        <v>171</v>
      </c>
      <c r="B150" s="27"/>
      <c r="C150" s="27"/>
      <c r="D150" s="28" t="e">
        <f>(SUM(D143:D147)+D132+D133)/(100%-C134)</f>
        <v>#REF!</v>
      </c>
    </row>
    <row r="151" spans="1:4" ht="14.25" customHeight="1"/>
    <row r="152" spans="1:4" ht="14.25" customHeight="1"/>
    <row r="153" spans="1:4" ht="14.25" customHeight="1"/>
    <row r="154" spans="1:4" ht="14.25" customHeight="1"/>
    <row r="155" spans="1:4" ht="14.25" customHeight="1"/>
    <row r="156" spans="1:4" ht="14.25" customHeight="1"/>
    <row r="157" spans="1:4" ht="14.25" customHeight="1"/>
    <row r="158" spans="1:4" ht="14.25" customHeight="1"/>
    <row r="159" spans="1:4" ht="14.25" customHeight="1"/>
    <row r="160" spans="1:4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5">
    <mergeCell ref="A123:D123"/>
    <mergeCell ref="A130:D130"/>
    <mergeCell ref="A141:D141"/>
    <mergeCell ref="A68:D68"/>
    <mergeCell ref="A78:D78"/>
    <mergeCell ref="A87:D87"/>
    <mergeCell ref="A88:D88"/>
    <mergeCell ref="A98:D98"/>
    <mergeCell ref="A104:D104"/>
    <mergeCell ref="A109:D109"/>
    <mergeCell ref="A43:D43"/>
    <mergeCell ref="A47:D47"/>
    <mergeCell ref="A56:D56"/>
    <mergeCell ref="A61:D61"/>
    <mergeCell ref="A115:D115"/>
    <mergeCell ref="A19:D19"/>
    <mergeCell ref="F22:G22"/>
    <mergeCell ref="A20:D20"/>
    <mergeCell ref="A26:D26"/>
    <mergeCell ref="A31:D31"/>
    <mergeCell ref="A1:D1"/>
    <mergeCell ref="F1:G1"/>
    <mergeCell ref="F8:G8"/>
    <mergeCell ref="A9:D9"/>
    <mergeCell ref="F14:G14"/>
  </mergeCells>
  <pageMargins left="0.7" right="0.7" top="0.75" bottom="0.75" header="0" footer="0"/>
  <pageSetup paperSize="9" orientation="portrait"/>
  <legacyDrawing r:id="rId1"/>
  <tableParts count="2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1:G1000"/>
  <sheetViews>
    <sheetView workbookViewId="0">
      <selection activeCell="F46" sqref="F46"/>
    </sheetView>
  </sheetViews>
  <sheetFormatPr defaultColWidth="12.6640625" defaultRowHeight="15" customHeight="1"/>
  <cols>
    <col min="1" max="1" width="11.5" customWidth="1"/>
    <col min="2" max="2" width="49.1640625" customWidth="1"/>
    <col min="3" max="3" width="24.25" customWidth="1"/>
    <col min="4" max="4" width="18.1640625" customWidth="1"/>
    <col min="5" max="5" width="8" style="138" customWidth="1"/>
    <col min="6" max="6" width="25.6640625" customWidth="1"/>
    <col min="7" max="7" width="10" customWidth="1"/>
    <col min="8" max="26" width="8" customWidth="1"/>
  </cols>
  <sheetData>
    <row r="1" spans="1:7" ht="14.25" customHeight="1">
      <c r="A1" s="110" t="s">
        <v>0</v>
      </c>
      <c r="B1" s="111"/>
      <c r="C1" s="111"/>
      <c r="D1" s="112"/>
      <c r="F1" s="113" t="s">
        <v>1</v>
      </c>
      <c r="G1" s="114"/>
    </row>
    <row r="2" spans="1:7" ht="14.25" customHeight="1">
      <c r="A2" s="2" t="s">
        <v>2</v>
      </c>
      <c r="B2" s="3" t="s">
        <v>3</v>
      </c>
      <c r="C2" s="2" t="s">
        <v>4</v>
      </c>
      <c r="D2" s="2" t="s">
        <v>5</v>
      </c>
      <c r="F2" s="18" t="s">
        <v>3</v>
      </c>
      <c r="G2" s="18" t="s">
        <v>5</v>
      </c>
    </row>
    <row r="3" spans="1:7" ht="14.25" customHeight="1">
      <c r="A3" s="2">
        <v>1</v>
      </c>
      <c r="B3" s="3" t="s">
        <v>6</v>
      </c>
      <c r="C3" s="74" t="s">
        <v>230</v>
      </c>
      <c r="D3" s="2" t="s">
        <v>206</v>
      </c>
      <c r="F3" s="3" t="s">
        <v>8</v>
      </c>
      <c r="G3" s="45">
        <v>4.1500000000000004</v>
      </c>
    </row>
    <row r="4" spans="1:7" ht="14.25" customHeight="1">
      <c r="A4" s="2">
        <v>2</v>
      </c>
      <c r="B4" s="3" t="s">
        <v>9</v>
      </c>
      <c r="C4" s="2"/>
      <c r="D4" s="2">
        <v>5143</v>
      </c>
      <c r="F4" s="3" t="s">
        <v>11</v>
      </c>
      <c r="G4" s="45">
        <v>16</v>
      </c>
    </row>
    <row r="5" spans="1:7" ht="14.25" customHeight="1">
      <c r="A5" s="2">
        <v>3</v>
      </c>
      <c r="B5" s="3" t="s">
        <v>12</v>
      </c>
      <c r="C5" s="2" t="s">
        <v>231</v>
      </c>
      <c r="D5" s="46">
        <v>1456.03</v>
      </c>
      <c r="F5" s="3" t="s">
        <v>14</v>
      </c>
      <c r="G5" s="47">
        <v>22</v>
      </c>
    </row>
    <row r="6" spans="1:7" ht="14.25" customHeight="1">
      <c r="A6" s="2">
        <v>4</v>
      </c>
      <c r="B6" s="3" t="s">
        <v>15</v>
      </c>
      <c r="C6" s="2" t="s">
        <v>208</v>
      </c>
      <c r="D6" s="2"/>
      <c r="F6" s="3" t="s">
        <v>17</v>
      </c>
      <c r="G6" s="48">
        <v>0.06</v>
      </c>
    </row>
    <row r="7" spans="1:7" ht="14.25" customHeight="1">
      <c r="A7" s="2">
        <v>5</v>
      </c>
      <c r="B7" s="3" t="s">
        <v>18</v>
      </c>
      <c r="C7" s="2"/>
      <c r="D7" s="2" t="s">
        <v>19</v>
      </c>
      <c r="F7" s="3" t="s">
        <v>209</v>
      </c>
      <c r="G7" s="49">
        <v>3</v>
      </c>
    </row>
    <row r="8" spans="1:7" ht="14.25" customHeight="1">
      <c r="F8" s="1"/>
      <c r="G8" s="50"/>
    </row>
    <row r="9" spans="1:7" ht="14.25" customHeight="1">
      <c r="A9" s="115" t="s">
        <v>21</v>
      </c>
      <c r="B9" s="116"/>
      <c r="C9" s="116"/>
      <c r="D9" s="117"/>
      <c r="F9" s="1"/>
      <c r="G9" s="50"/>
    </row>
    <row r="10" spans="1:7" ht="14.25" customHeight="1">
      <c r="A10" s="2" t="s">
        <v>24</v>
      </c>
      <c r="B10" s="3" t="s">
        <v>25</v>
      </c>
      <c r="C10" s="2" t="s">
        <v>4</v>
      </c>
      <c r="D10" s="2" t="s">
        <v>5</v>
      </c>
      <c r="F10" s="1"/>
      <c r="G10" s="50"/>
    </row>
    <row r="11" spans="1:7" ht="14.25" customHeight="1">
      <c r="A11" s="2" t="s">
        <v>27</v>
      </c>
      <c r="B11" s="3" t="s">
        <v>28</v>
      </c>
      <c r="C11" s="2"/>
      <c r="D11" s="9">
        <f>D5</f>
        <v>1456.03</v>
      </c>
      <c r="F11" s="1"/>
      <c r="G11" s="50"/>
    </row>
    <row r="12" spans="1:7" ht="14.25" customHeight="1">
      <c r="A12" s="2" t="s">
        <v>30</v>
      </c>
      <c r="B12" s="3" t="s">
        <v>31</v>
      </c>
      <c r="C12" s="2"/>
      <c r="D12" s="9"/>
      <c r="F12" s="1"/>
      <c r="G12" s="50"/>
    </row>
    <row r="13" spans="1:7" ht="14.25" customHeight="1">
      <c r="A13" s="2" t="s">
        <v>33</v>
      </c>
      <c r="B13" s="3" t="s">
        <v>34</v>
      </c>
      <c r="C13" s="2"/>
      <c r="D13" s="9"/>
      <c r="F13" s="1"/>
      <c r="G13" s="50"/>
    </row>
    <row r="14" spans="1:7" ht="14.25" customHeight="1">
      <c r="A14" s="2" t="s">
        <v>35</v>
      </c>
      <c r="B14" s="3" t="s">
        <v>36</v>
      </c>
      <c r="C14" s="2"/>
      <c r="D14" s="9"/>
      <c r="F14" s="1"/>
      <c r="G14" s="50"/>
    </row>
    <row r="15" spans="1:7" ht="14.25" customHeight="1">
      <c r="A15" s="2" t="s">
        <v>38</v>
      </c>
      <c r="B15" s="3" t="s">
        <v>39</v>
      </c>
      <c r="C15" s="2"/>
      <c r="D15" s="9"/>
      <c r="F15" s="1"/>
      <c r="G15" s="50"/>
    </row>
    <row r="16" spans="1:7" ht="14.25" customHeight="1">
      <c r="A16" s="2" t="s">
        <v>40</v>
      </c>
      <c r="B16" s="3" t="s">
        <v>210</v>
      </c>
      <c r="C16" s="6"/>
      <c r="D16" s="9"/>
      <c r="F16" s="1"/>
      <c r="G16" s="50"/>
    </row>
    <row r="17" spans="1:7" ht="14.25" customHeight="1">
      <c r="A17" s="2" t="s">
        <v>43</v>
      </c>
      <c r="B17" s="3"/>
      <c r="C17" s="2"/>
      <c r="D17" s="9">
        <f>TRUNC(SUM(D11:D16),2)</f>
        <v>1456.03</v>
      </c>
      <c r="F17" s="1"/>
      <c r="G17" s="50"/>
    </row>
    <row r="18" spans="1:7" ht="14.25" customHeight="1">
      <c r="F18" s="1"/>
      <c r="G18" s="50"/>
    </row>
    <row r="19" spans="1:7" ht="14.25" customHeight="1">
      <c r="A19" s="118" t="s">
        <v>46</v>
      </c>
      <c r="B19" s="119"/>
      <c r="C19" s="119"/>
      <c r="D19" s="120"/>
      <c r="F19" s="1"/>
      <c r="G19" s="50"/>
    </row>
    <row r="20" spans="1:7" ht="14.25" customHeight="1">
      <c r="A20" s="113" t="s">
        <v>48</v>
      </c>
      <c r="B20" s="114"/>
      <c r="C20" s="114"/>
      <c r="D20" s="114"/>
      <c r="F20" s="1"/>
      <c r="G20" s="50"/>
    </row>
    <row r="21" spans="1:7" ht="14.25" customHeight="1">
      <c r="A21" s="2" t="s">
        <v>50</v>
      </c>
      <c r="B21" s="3" t="s">
        <v>51</v>
      </c>
      <c r="C21" s="2" t="s">
        <v>4</v>
      </c>
      <c r="D21" s="2" t="s">
        <v>5</v>
      </c>
      <c r="F21" s="1"/>
      <c r="G21" s="50"/>
    </row>
    <row r="22" spans="1:7" ht="14.25" customHeight="1">
      <c r="A22" s="2" t="s">
        <v>27</v>
      </c>
      <c r="B22" s="3" t="s">
        <v>52</v>
      </c>
      <c r="C22" s="51">
        <f>(1/12)</f>
        <v>8.3333333333333329E-2</v>
      </c>
      <c r="D22" s="9">
        <f t="shared" ref="D22:D23" si="0">TRUNC($D$17*C22,2)</f>
        <v>121.33</v>
      </c>
      <c r="F22" s="1"/>
      <c r="G22" s="50"/>
    </row>
    <row r="23" spans="1:7" ht="14.25" customHeight="1">
      <c r="A23" s="2" t="s">
        <v>30</v>
      </c>
      <c r="B23" s="3" t="s">
        <v>54</v>
      </c>
      <c r="C23" s="51">
        <f>(((1+1/3)/12))</f>
        <v>0.1111111111111111</v>
      </c>
      <c r="D23" s="9">
        <f t="shared" si="0"/>
        <v>161.78</v>
      </c>
      <c r="E23" s="139"/>
      <c r="F23" s="1"/>
      <c r="G23" s="50"/>
    </row>
    <row r="24" spans="1:7" ht="14.25" customHeight="1">
      <c r="A24" s="2" t="s">
        <v>43</v>
      </c>
      <c r="B24" s="3"/>
      <c r="C24" s="3"/>
      <c r="D24" s="9">
        <f>TRUNC(SUM(D22:D23),2)</f>
        <v>283.11</v>
      </c>
      <c r="F24" s="1"/>
      <c r="G24" s="50"/>
    </row>
    <row r="25" spans="1:7" ht="14.25" customHeight="1">
      <c r="A25" s="14"/>
      <c r="D25" s="15"/>
      <c r="F25" s="1"/>
      <c r="G25" s="50"/>
    </row>
    <row r="26" spans="1:7" ht="14.25" customHeight="1">
      <c r="A26" s="129" t="s">
        <v>211</v>
      </c>
      <c r="B26" s="130"/>
      <c r="C26" s="52" t="s">
        <v>212</v>
      </c>
      <c r="D26" s="53">
        <f>D17</f>
        <v>1456.03</v>
      </c>
      <c r="F26" s="1"/>
      <c r="G26" s="1"/>
    </row>
    <row r="27" spans="1:7" ht="14.25" customHeight="1">
      <c r="A27" s="131"/>
      <c r="B27" s="132"/>
      <c r="C27" s="54" t="s">
        <v>213</v>
      </c>
      <c r="D27" s="53">
        <f>D24</f>
        <v>283.11</v>
      </c>
      <c r="F27" s="1"/>
      <c r="G27" s="1"/>
    </row>
    <row r="28" spans="1:7" ht="14.25" customHeight="1">
      <c r="A28" s="133"/>
      <c r="B28" s="134"/>
      <c r="C28" s="52" t="s">
        <v>199</v>
      </c>
      <c r="D28" s="55">
        <f>TRUNC(SUM(D26:D27),2)</f>
        <v>1739.14</v>
      </c>
      <c r="F28" s="1"/>
      <c r="G28" s="1"/>
    </row>
    <row r="29" spans="1:7" ht="14.25" customHeight="1">
      <c r="A29" s="14"/>
      <c r="B29" s="14"/>
      <c r="C29" s="22"/>
      <c r="F29" s="1"/>
      <c r="G29" s="1"/>
    </row>
    <row r="30" spans="1:7" ht="14.25" customHeight="1">
      <c r="A30" s="113" t="s">
        <v>65</v>
      </c>
      <c r="B30" s="114"/>
      <c r="C30" s="114"/>
      <c r="D30" s="114"/>
    </row>
    <row r="31" spans="1:7" ht="14.25" customHeight="1">
      <c r="A31" s="2" t="s">
        <v>66</v>
      </c>
      <c r="B31" s="3" t="s">
        <v>67</v>
      </c>
      <c r="C31" s="2" t="s">
        <v>23</v>
      </c>
      <c r="D31" s="2" t="s">
        <v>68</v>
      </c>
    </row>
    <row r="32" spans="1:7" ht="14.25" customHeight="1">
      <c r="A32" s="2" t="s">
        <v>27</v>
      </c>
      <c r="B32" s="3" t="s">
        <v>69</v>
      </c>
      <c r="C32" s="23">
        <v>0.2</v>
      </c>
      <c r="D32" s="9">
        <f t="shared" ref="D32:D39" si="1">TRUNC(($D$28*C32),2)</f>
        <v>347.82</v>
      </c>
    </row>
    <row r="33" spans="1:6" ht="14.25" customHeight="1">
      <c r="A33" s="2" t="s">
        <v>30</v>
      </c>
      <c r="B33" s="3" t="s">
        <v>70</v>
      </c>
      <c r="C33" s="23">
        <v>2.5000000000000001E-2</v>
      </c>
      <c r="D33" s="9">
        <f t="shared" si="1"/>
        <v>43.47</v>
      </c>
    </row>
    <row r="34" spans="1:6" ht="14.25" customHeight="1">
      <c r="A34" s="2" t="s">
        <v>33</v>
      </c>
      <c r="B34" s="3" t="s">
        <v>71</v>
      </c>
      <c r="C34" s="56">
        <v>0.06</v>
      </c>
      <c r="D34" s="57">
        <f t="shared" si="1"/>
        <v>104.34</v>
      </c>
      <c r="E34" s="140"/>
    </row>
    <row r="35" spans="1:6" ht="14.25" customHeight="1">
      <c r="A35" s="2" t="s">
        <v>35</v>
      </c>
      <c r="B35" s="3" t="s">
        <v>72</v>
      </c>
      <c r="C35" s="23">
        <v>1.4999999999999999E-2</v>
      </c>
      <c r="D35" s="9">
        <f t="shared" si="1"/>
        <v>26.08</v>
      </c>
    </row>
    <row r="36" spans="1:6" ht="14.25" customHeight="1">
      <c r="A36" s="2" t="s">
        <v>38</v>
      </c>
      <c r="B36" s="3" t="s">
        <v>73</v>
      </c>
      <c r="C36" s="23">
        <v>0.01</v>
      </c>
      <c r="D36" s="9">
        <f t="shared" si="1"/>
        <v>17.39</v>
      </c>
    </row>
    <row r="37" spans="1:6" ht="14.25" customHeight="1">
      <c r="A37" s="2" t="s">
        <v>40</v>
      </c>
      <c r="B37" s="3" t="s">
        <v>74</v>
      </c>
      <c r="C37" s="23">
        <v>6.0000000000000001E-3</v>
      </c>
      <c r="D37" s="9">
        <f t="shared" si="1"/>
        <v>10.43</v>
      </c>
    </row>
    <row r="38" spans="1:6" ht="14.25" customHeight="1">
      <c r="A38" s="2" t="s">
        <v>75</v>
      </c>
      <c r="B38" s="3" t="s">
        <v>76</v>
      </c>
      <c r="C38" s="23">
        <v>2E-3</v>
      </c>
      <c r="D38" s="9">
        <f t="shared" si="1"/>
        <v>3.47</v>
      </c>
    </row>
    <row r="39" spans="1:6" ht="14.25" customHeight="1">
      <c r="A39" s="2" t="s">
        <v>77</v>
      </c>
      <c r="B39" s="3" t="s">
        <v>78</v>
      </c>
      <c r="C39" s="23">
        <v>0.08</v>
      </c>
      <c r="D39" s="9">
        <f t="shared" si="1"/>
        <v>139.13</v>
      </c>
    </row>
    <row r="40" spans="1:6" ht="14.25" customHeight="1">
      <c r="A40" s="2" t="s">
        <v>43</v>
      </c>
      <c r="B40" s="3"/>
      <c r="C40" s="23">
        <f>SUBTOTAL(109,'Manut. Predial'!$C$32:$C$39)</f>
        <v>0.39800000000000008</v>
      </c>
      <c r="D40" s="9">
        <f>TRUNC(SUM(D32:D39),2)</f>
        <v>692.13</v>
      </c>
    </row>
    <row r="41" spans="1:6" ht="14.25" customHeight="1">
      <c r="A41" s="14"/>
      <c r="C41" s="24"/>
      <c r="D41" s="15"/>
    </row>
    <row r="42" spans="1:6" ht="14.25" customHeight="1">
      <c r="A42" s="113" t="s">
        <v>83</v>
      </c>
      <c r="B42" s="114"/>
      <c r="C42" s="114"/>
      <c r="D42" s="114"/>
    </row>
    <row r="43" spans="1:6" ht="14.25" customHeight="1">
      <c r="A43" s="2" t="s">
        <v>84</v>
      </c>
      <c r="B43" s="3" t="s">
        <v>85</v>
      </c>
      <c r="C43" s="2" t="s">
        <v>4</v>
      </c>
      <c r="D43" s="2" t="s">
        <v>5</v>
      </c>
    </row>
    <row r="44" spans="1:6" ht="14.25" customHeight="1">
      <c r="A44" s="2" t="s">
        <v>27</v>
      </c>
      <c r="B44" s="3" t="s">
        <v>86</v>
      </c>
      <c r="C44" s="3"/>
      <c r="D44" s="57">
        <f>TRUNC(((G5*G3)*2)-((D5/100)*6),2)</f>
        <v>95.23</v>
      </c>
    </row>
    <row r="45" spans="1:6" ht="14.25" customHeight="1">
      <c r="A45" s="2" t="s">
        <v>30</v>
      </c>
      <c r="B45" s="3" t="s">
        <v>87</v>
      </c>
      <c r="C45" s="3"/>
      <c r="D45" s="57">
        <f>TRUNC((((G5*G4))-(((G5*G4))*0.2)),2)</f>
        <v>281.60000000000002</v>
      </c>
    </row>
    <row r="46" spans="1:6" ht="14.25" customHeight="1">
      <c r="A46" s="2" t="s">
        <v>33</v>
      </c>
      <c r="B46" s="3" t="s">
        <v>88</v>
      </c>
      <c r="C46" s="6" t="s">
        <v>208</v>
      </c>
      <c r="D46" s="57">
        <v>5</v>
      </c>
      <c r="E46" s="140"/>
      <c r="F46" s="36"/>
    </row>
    <row r="47" spans="1:6" ht="14.25" customHeight="1">
      <c r="A47" s="2" t="s">
        <v>35</v>
      </c>
      <c r="B47" s="3" t="s">
        <v>89</v>
      </c>
      <c r="C47" s="6" t="s">
        <v>208</v>
      </c>
      <c r="D47" s="57">
        <v>4</v>
      </c>
    </row>
    <row r="48" spans="1:6" ht="14.25" customHeight="1">
      <c r="A48" s="2" t="s">
        <v>38</v>
      </c>
      <c r="B48" s="3" t="s">
        <v>91</v>
      </c>
      <c r="C48" s="6" t="s">
        <v>208</v>
      </c>
      <c r="D48" s="57">
        <v>15</v>
      </c>
    </row>
    <row r="49" spans="1:5" ht="14.25" customHeight="1">
      <c r="A49" s="2" t="s">
        <v>43</v>
      </c>
      <c r="B49" s="3"/>
      <c r="C49" s="3"/>
      <c r="D49" s="9">
        <f>TRUNC(SUM(D44:D48),2)</f>
        <v>400.83</v>
      </c>
    </row>
    <row r="50" spans="1:5" ht="14.25" customHeight="1">
      <c r="A50" s="14"/>
      <c r="D50" s="15"/>
    </row>
    <row r="51" spans="1:5" ht="14.25" customHeight="1">
      <c r="A51" s="113" t="s">
        <v>97</v>
      </c>
      <c r="B51" s="114"/>
      <c r="C51" s="114"/>
      <c r="D51" s="114"/>
    </row>
    <row r="52" spans="1:5" ht="14.25" customHeight="1">
      <c r="A52" s="2" t="s">
        <v>98</v>
      </c>
      <c r="B52" s="3" t="s">
        <v>99</v>
      </c>
      <c r="C52" s="2" t="s">
        <v>4</v>
      </c>
      <c r="D52" s="2" t="s">
        <v>5</v>
      </c>
    </row>
    <row r="53" spans="1:5" ht="14.25" customHeight="1">
      <c r="A53" s="2" t="s">
        <v>50</v>
      </c>
      <c r="B53" s="3" t="s">
        <v>51</v>
      </c>
      <c r="C53" s="2"/>
      <c r="D53" s="9">
        <f>D24</f>
        <v>283.11</v>
      </c>
    </row>
    <row r="54" spans="1:5" ht="14.25" customHeight="1">
      <c r="A54" s="2" t="s">
        <v>66</v>
      </c>
      <c r="B54" s="3" t="s">
        <v>67</v>
      </c>
      <c r="C54" s="2"/>
      <c r="D54" s="9">
        <f>D40</f>
        <v>692.13</v>
      </c>
    </row>
    <row r="55" spans="1:5" ht="14.25" customHeight="1">
      <c r="A55" s="2" t="s">
        <v>84</v>
      </c>
      <c r="B55" s="3" t="s">
        <v>85</v>
      </c>
      <c r="C55" s="2"/>
      <c r="D55" s="9">
        <f>D49</f>
        <v>400.83</v>
      </c>
    </row>
    <row r="56" spans="1:5" ht="14.25" customHeight="1">
      <c r="A56" s="2" t="s">
        <v>43</v>
      </c>
      <c r="B56" s="3"/>
      <c r="C56" s="2"/>
      <c r="D56" s="9">
        <f>TRUNC(SUM(D53:D55),2)</f>
        <v>1376.07</v>
      </c>
    </row>
    <row r="57" spans="1:5" ht="14.25" customHeight="1"/>
    <row r="58" spans="1:5" ht="14.25" customHeight="1">
      <c r="A58" s="115" t="s">
        <v>100</v>
      </c>
      <c r="B58" s="116"/>
      <c r="C58" s="116"/>
      <c r="D58" s="117"/>
    </row>
    <row r="59" spans="1:5" ht="14.25" customHeight="1">
      <c r="A59" s="2" t="s">
        <v>101</v>
      </c>
      <c r="B59" s="3" t="s">
        <v>102</v>
      </c>
      <c r="C59" s="2" t="s">
        <v>4</v>
      </c>
      <c r="D59" s="2" t="s">
        <v>5</v>
      </c>
    </row>
    <row r="60" spans="1:5" ht="14.25" customHeight="1">
      <c r="A60" s="2" t="s">
        <v>27</v>
      </c>
      <c r="B60" s="59" t="s">
        <v>103</v>
      </c>
      <c r="C60" s="60">
        <f>((1/12)*5%)</f>
        <v>4.1666666666666666E-3</v>
      </c>
      <c r="D60" s="61">
        <f>TRUNC(($D$17*C60),2)</f>
        <v>6.06</v>
      </c>
      <c r="E60" s="140"/>
    </row>
    <row r="61" spans="1:5" ht="14.25" customHeight="1">
      <c r="A61" s="2" t="s">
        <v>30</v>
      </c>
      <c r="B61" s="59" t="s">
        <v>104</v>
      </c>
      <c r="C61" s="51">
        <v>0.08</v>
      </c>
      <c r="D61" s="62">
        <f>TRUNC(D60*C61,2)</f>
        <v>0.48</v>
      </c>
    </row>
    <row r="62" spans="1:5" ht="14.25" customHeight="1">
      <c r="A62" s="2" t="s">
        <v>33</v>
      </c>
      <c r="B62" s="59" t="s">
        <v>105</v>
      </c>
      <c r="C62" s="60">
        <f>(0.08*0.4*0.05)</f>
        <v>1.6000000000000001E-3</v>
      </c>
      <c r="D62" s="61">
        <f t="shared" ref="D62:D63" si="2">TRUNC(($D$17*C62),2)</f>
        <v>2.3199999999999998</v>
      </c>
      <c r="E62" s="140"/>
    </row>
    <row r="63" spans="1:5" ht="14.25" customHeight="1">
      <c r="A63" s="2" t="s">
        <v>35</v>
      </c>
      <c r="B63" s="59" t="s">
        <v>106</v>
      </c>
      <c r="C63" s="51">
        <f>(((7/30)/12)*0.95)</f>
        <v>1.8472222222222223E-2</v>
      </c>
      <c r="D63" s="62">
        <f t="shared" si="2"/>
        <v>26.89</v>
      </c>
    </row>
    <row r="64" spans="1:5" ht="14.25" customHeight="1">
      <c r="A64" s="2" t="s">
        <v>38</v>
      </c>
      <c r="B64" s="59" t="s">
        <v>214</v>
      </c>
      <c r="C64" s="51">
        <f>C40</f>
        <v>0.39800000000000008</v>
      </c>
      <c r="D64" s="62">
        <f>TRUNC(D63*C64,2)</f>
        <v>10.7</v>
      </c>
    </row>
    <row r="65" spans="1:5" ht="14.25" customHeight="1">
      <c r="A65" s="2" t="s">
        <v>40</v>
      </c>
      <c r="B65" s="59" t="s">
        <v>107</v>
      </c>
      <c r="C65" s="60">
        <f>(0.08*0.4*0.95)</f>
        <v>3.04E-2</v>
      </c>
      <c r="D65" s="61">
        <f>TRUNC(($D$17*C65),2)</f>
        <v>44.26</v>
      </c>
      <c r="E65" s="140"/>
    </row>
    <row r="66" spans="1:5" ht="14.25" customHeight="1">
      <c r="A66" s="2" t="s">
        <v>43</v>
      </c>
      <c r="B66" s="3"/>
      <c r="C66" s="3"/>
      <c r="D66" s="9">
        <f>TRUNC(SUM(D60:D65),2)</f>
        <v>90.71</v>
      </c>
    </row>
    <row r="67" spans="1:5" ht="14.25" customHeight="1">
      <c r="A67" s="14"/>
      <c r="D67" s="15"/>
    </row>
    <row r="68" spans="1:5" ht="14.25" customHeight="1">
      <c r="A68" s="129" t="s">
        <v>215</v>
      </c>
      <c r="B68" s="130"/>
      <c r="C68" s="52" t="s">
        <v>212</v>
      </c>
      <c r="D68" s="53">
        <f>D17</f>
        <v>1456.03</v>
      </c>
    </row>
    <row r="69" spans="1:5" ht="14.25" customHeight="1">
      <c r="A69" s="131"/>
      <c r="B69" s="132"/>
      <c r="C69" s="54" t="s">
        <v>216</v>
      </c>
      <c r="D69" s="53">
        <f>D56</f>
        <v>1376.07</v>
      </c>
    </row>
    <row r="70" spans="1:5" ht="14.25" customHeight="1">
      <c r="A70" s="131"/>
      <c r="B70" s="132"/>
      <c r="C70" s="52" t="s">
        <v>217</v>
      </c>
      <c r="D70" s="53">
        <f>D66</f>
        <v>90.71</v>
      </c>
    </row>
    <row r="71" spans="1:5" ht="14.25" customHeight="1">
      <c r="A71" s="133"/>
      <c r="B71" s="134"/>
      <c r="C71" s="54" t="s">
        <v>199</v>
      </c>
      <c r="D71" s="55">
        <f>TRUNC((SUM(D68:D70)),2)</f>
        <v>2922.81</v>
      </c>
    </row>
    <row r="72" spans="1:5" ht="14.25" customHeight="1">
      <c r="A72" s="14"/>
      <c r="D72" s="15"/>
    </row>
    <row r="73" spans="1:5" ht="14.25" customHeight="1">
      <c r="A73" s="122" t="s">
        <v>119</v>
      </c>
      <c r="B73" s="119"/>
      <c r="C73" s="119"/>
      <c r="D73" s="120"/>
    </row>
    <row r="74" spans="1:5" ht="14.25" customHeight="1">
      <c r="A74" s="113" t="s">
        <v>120</v>
      </c>
      <c r="B74" s="114"/>
      <c r="C74" s="114"/>
      <c r="D74" s="114"/>
    </row>
    <row r="75" spans="1:5" ht="14.25" customHeight="1">
      <c r="A75" s="2" t="s">
        <v>121</v>
      </c>
      <c r="B75" s="3" t="s">
        <v>122</v>
      </c>
      <c r="C75" s="2" t="s">
        <v>123</v>
      </c>
      <c r="D75" s="2" t="s">
        <v>5</v>
      </c>
    </row>
    <row r="76" spans="1:5" ht="14.25" customHeight="1">
      <c r="A76" s="2" t="s">
        <v>27</v>
      </c>
      <c r="B76" s="59" t="s">
        <v>124</v>
      </c>
      <c r="C76" s="60">
        <f>((1+1/3)/12)/12</f>
        <v>9.2592592592592587E-3</v>
      </c>
      <c r="D76" s="64">
        <f t="shared" ref="D76:D81" si="3">TRUNC(($D$71*C76),2)</f>
        <v>27.06</v>
      </c>
      <c r="E76" s="139"/>
    </row>
    <row r="77" spans="1:5" ht="14.25" customHeight="1">
      <c r="A77" s="2" t="s">
        <v>30</v>
      </c>
      <c r="B77" s="59" t="s">
        <v>125</v>
      </c>
      <c r="C77" s="60">
        <f>((2/30)/12)</f>
        <v>5.5555555555555558E-3</v>
      </c>
      <c r="D77" s="64">
        <f t="shared" si="3"/>
        <v>16.23</v>
      </c>
      <c r="E77" s="139"/>
    </row>
    <row r="78" spans="1:5" ht="14.25" customHeight="1">
      <c r="A78" s="2" t="s">
        <v>33</v>
      </c>
      <c r="B78" s="59" t="s">
        <v>126</v>
      </c>
      <c r="C78" s="60">
        <f>(((5/30)/12)*0.02)</f>
        <v>2.7777777777777778E-4</v>
      </c>
      <c r="D78" s="64">
        <f t="shared" si="3"/>
        <v>0.81</v>
      </c>
      <c r="E78" s="139"/>
    </row>
    <row r="79" spans="1:5" ht="14.25" customHeight="1">
      <c r="A79" s="2" t="s">
        <v>35</v>
      </c>
      <c r="B79" s="59" t="s">
        <v>127</v>
      </c>
      <c r="C79" s="60">
        <f>((15/30)/12)*0.08</f>
        <v>3.3333333333333331E-3</v>
      </c>
      <c r="D79" s="64">
        <f t="shared" si="3"/>
        <v>9.74</v>
      </c>
      <c r="E79" s="139"/>
    </row>
    <row r="80" spans="1:5" ht="14.25" customHeight="1">
      <c r="A80" s="2" t="s">
        <v>38</v>
      </c>
      <c r="B80" s="59" t="s">
        <v>128</v>
      </c>
      <c r="C80" s="60">
        <f>((1+1/3)/12)*0.03*((4/12))</f>
        <v>1.1111111111111109E-3</v>
      </c>
      <c r="D80" s="64">
        <f t="shared" si="3"/>
        <v>3.24</v>
      </c>
      <c r="E80" s="139"/>
    </row>
    <row r="81" spans="1:5" ht="14.25" customHeight="1">
      <c r="A81" s="2" t="s">
        <v>40</v>
      </c>
      <c r="B81" s="59" t="s">
        <v>218</v>
      </c>
      <c r="C81" s="60">
        <v>0</v>
      </c>
      <c r="D81" s="64">
        <f t="shared" si="3"/>
        <v>0</v>
      </c>
      <c r="E81" s="139"/>
    </row>
    <row r="82" spans="1:5" ht="14.25" customHeight="1">
      <c r="A82" s="2" t="s">
        <v>43</v>
      </c>
      <c r="B82" s="3"/>
      <c r="C82" s="23">
        <f>SUBTOTAL(109,'Manut. Predial'!$C$76:$C$81)</f>
        <v>1.9537037037037037E-2</v>
      </c>
      <c r="D82" s="9">
        <f>TRUNC(SUM(D76:D81),2)</f>
        <v>57.08</v>
      </c>
    </row>
    <row r="83" spans="1:5" ht="14.25" customHeight="1">
      <c r="A83" s="14"/>
      <c r="C83" s="14"/>
      <c r="D83" s="15"/>
    </row>
    <row r="84" spans="1:5" ht="14.25" customHeight="1">
      <c r="A84" s="113" t="s">
        <v>139</v>
      </c>
      <c r="B84" s="114"/>
      <c r="C84" s="114"/>
      <c r="D84" s="114"/>
    </row>
    <row r="85" spans="1:5" ht="14.25" customHeight="1">
      <c r="A85" s="2" t="s">
        <v>140</v>
      </c>
      <c r="B85" s="3" t="s">
        <v>141</v>
      </c>
      <c r="C85" s="2" t="s">
        <v>4</v>
      </c>
      <c r="D85" s="2" t="s">
        <v>5</v>
      </c>
    </row>
    <row r="86" spans="1:5" ht="14.25" customHeight="1">
      <c r="A86" s="2" t="s">
        <v>27</v>
      </c>
      <c r="B86" s="3" t="s">
        <v>142</v>
      </c>
      <c r="C86" s="2"/>
      <c r="D86" s="9"/>
    </row>
    <row r="87" spans="1:5" ht="14.25" customHeight="1">
      <c r="A87" s="2" t="s">
        <v>43</v>
      </c>
      <c r="B87" s="3"/>
      <c r="C87" s="2"/>
      <c r="D87" s="9">
        <f>SUBTOTAL(109,'Manut. Predial'!$D$86)</f>
        <v>0</v>
      </c>
    </row>
    <row r="88" spans="1:5" ht="14.25" customHeight="1"/>
    <row r="89" spans="1:5" ht="14.25" customHeight="1">
      <c r="A89" s="113" t="s">
        <v>143</v>
      </c>
      <c r="B89" s="114"/>
      <c r="C89" s="114"/>
      <c r="D89" s="114"/>
    </row>
    <row r="90" spans="1:5" ht="14.25" customHeight="1">
      <c r="A90" s="2" t="s">
        <v>144</v>
      </c>
      <c r="B90" s="3" t="s">
        <v>145</v>
      </c>
      <c r="C90" s="2" t="s">
        <v>4</v>
      </c>
      <c r="D90" s="2" t="s">
        <v>5</v>
      </c>
    </row>
    <row r="91" spans="1:5" ht="14.25" customHeight="1">
      <c r="A91" s="2" t="s">
        <v>121</v>
      </c>
      <c r="B91" s="3" t="s">
        <v>122</v>
      </c>
      <c r="C91" s="3"/>
      <c r="D91" s="9">
        <f>D82</f>
        <v>57.08</v>
      </c>
    </row>
    <row r="92" spans="1:5" ht="14.25" customHeight="1">
      <c r="A92" s="2" t="s">
        <v>140</v>
      </c>
      <c r="B92" s="3" t="s">
        <v>146</v>
      </c>
      <c r="C92" s="3"/>
      <c r="D92" s="9">
        <f>'Manut. Predial'!$D$87</f>
        <v>0</v>
      </c>
    </row>
    <row r="93" spans="1:5" ht="14.25" customHeight="1">
      <c r="A93" s="2" t="s">
        <v>43</v>
      </c>
      <c r="B93" s="3"/>
      <c r="C93" s="3"/>
      <c r="D93" s="9">
        <f>TRUNC(SUM(D91:D92),2)</f>
        <v>57.08</v>
      </c>
    </row>
    <row r="94" spans="1:5" ht="14.25" customHeight="1"/>
    <row r="95" spans="1:5" ht="14.25" customHeight="1">
      <c r="A95" s="115" t="s">
        <v>147</v>
      </c>
      <c r="B95" s="116"/>
      <c r="C95" s="116"/>
      <c r="D95" s="117"/>
    </row>
    <row r="96" spans="1:5" ht="14.25" customHeight="1">
      <c r="A96" s="2" t="s">
        <v>148</v>
      </c>
      <c r="B96" s="3" t="s">
        <v>149</v>
      </c>
      <c r="C96" s="2" t="s">
        <v>4</v>
      </c>
      <c r="D96" s="2" t="s">
        <v>5</v>
      </c>
    </row>
    <row r="97" spans="1:7" ht="14.25" customHeight="1">
      <c r="A97" s="2" t="s">
        <v>27</v>
      </c>
      <c r="B97" s="3" t="s">
        <v>219</v>
      </c>
      <c r="C97" s="3"/>
      <c r="D97" s="66">
        <v>16.88</v>
      </c>
      <c r="E97" s="140"/>
    </row>
    <row r="98" spans="1:7" ht="14.25" customHeight="1">
      <c r="A98" s="2" t="s">
        <v>30</v>
      </c>
      <c r="B98" s="3" t="s">
        <v>151</v>
      </c>
      <c r="C98" s="3"/>
      <c r="D98" s="66">
        <v>0</v>
      </c>
    </row>
    <row r="99" spans="1:7" ht="14.25" customHeight="1">
      <c r="A99" s="2" t="s">
        <v>33</v>
      </c>
      <c r="B99" s="3" t="s">
        <v>152</v>
      </c>
      <c r="C99" s="3"/>
      <c r="D99" s="66">
        <v>0</v>
      </c>
    </row>
    <row r="100" spans="1:7" ht="14.25" customHeight="1">
      <c r="A100" s="2" t="s">
        <v>35</v>
      </c>
      <c r="B100" s="3" t="s">
        <v>220</v>
      </c>
      <c r="C100" s="3"/>
      <c r="D100" s="66">
        <v>0</v>
      </c>
    </row>
    <row r="101" spans="1:7" ht="14.25" customHeight="1">
      <c r="A101" s="2" t="s">
        <v>43</v>
      </c>
      <c r="B101" s="3"/>
      <c r="C101" s="3"/>
      <c r="D101" s="9">
        <f>TRUNC(SUM(D97:D100),2)</f>
        <v>16.88</v>
      </c>
    </row>
    <row r="102" spans="1:7" ht="14.25" customHeight="1">
      <c r="A102" s="14"/>
      <c r="D102" s="15"/>
    </row>
    <row r="103" spans="1:7" ht="14.25" customHeight="1">
      <c r="A103" s="129" t="s">
        <v>221</v>
      </c>
      <c r="B103" s="130"/>
      <c r="C103" s="52" t="s">
        <v>212</v>
      </c>
      <c r="D103" s="53">
        <f>D17</f>
        <v>1456.03</v>
      </c>
    </row>
    <row r="104" spans="1:7" ht="14.25" customHeight="1">
      <c r="A104" s="131"/>
      <c r="B104" s="132"/>
      <c r="C104" s="54" t="s">
        <v>216</v>
      </c>
      <c r="D104" s="53">
        <f>D56</f>
        <v>1376.07</v>
      </c>
    </row>
    <row r="105" spans="1:7" ht="14.25" customHeight="1">
      <c r="A105" s="131"/>
      <c r="B105" s="132"/>
      <c r="C105" s="52" t="s">
        <v>217</v>
      </c>
      <c r="D105" s="53">
        <f>D66</f>
        <v>90.71</v>
      </c>
    </row>
    <row r="106" spans="1:7" ht="14.25" customHeight="1">
      <c r="A106" s="131"/>
      <c r="B106" s="132"/>
      <c r="C106" s="54" t="s">
        <v>222</v>
      </c>
      <c r="D106" s="53">
        <f>D93</f>
        <v>57.08</v>
      </c>
    </row>
    <row r="107" spans="1:7" ht="14.25" customHeight="1">
      <c r="A107" s="131"/>
      <c r="B107" s="132"/>
      <c r="C107" s="52" t="s">
        <v>223</v>
      </c>
      <c r="D107" s="53">
        <f>D101</f>
        <v>16.88</v>
      </c>
    </row>
    <row r="108" spans="1:7" ht="14.25" customHeight="1">
      <c r="A108" s="133"/>
      <c r="B108" s="134"/>
      <c r="C108" s="54" t="s">
        <v>199</v>
      </c>
      <c r="D108" s="55">
        <f>TRUNC((SUM(D103:D107)),2)</f>
        <v>2996.77</v>
      </c>
    </row>
    <row r="109" spans="1:7" ht="14.25" customHeight="1">
      <c r="A109" s="14"/>
      <c r="D109" s="15"/>
    </row>
    <row r="110" spans="1:7" ht="14.25" customHeight="1">
      <c r="A110" s="115" t="s">
        <v>159</v>
      </c>
      <c r="B110" s="116"/>
      <c r="C110" s="116"/>
      <c r="D110" s="117"/>
      <c r="F110" s="135" t="s">
        <v>224</v>
      </c>
      <c r="G110" s="136"/>
    </row>
    <row r="111" spans="1:7" ht="14.25" customHeight="1">
      <c r="A111" s="2" t="s">
        <v>160</v>
      </c>
      <c r="B111" s="3" t="s">
        <v>161</v>
      </c>
      <c r="C111" s="2" t="s">
        <v>23</v>
      </c>
      <c r="D111" s="2" t="s">
        <v>5</v>
      </c>
      <c r="F111" s="67" t="s">
        <v>225</v>
      </c>
      <c r="G111" s="68">
        <f>C114</f>
        <v>8.6499999999999994E-2</v>
      </c>
    </row>
    <row r="112" spans="1:7" ht="14.25" customHeight="1">
      <c r="A112" s="2" t="s">
        <v>27</v>
      </c>
      <c r="B112" s="3" t="s">
        <v>162</v>
      </c>
      <c r="C112" s="56">
        <v>2.2499999999999999E-2</v>
      </c>
      <c r="D112" s="57">
        <f>TRUNC(($D$108*C112),2)</f>
        <v>67.42</v>
      </c>
      <c r="E112" s="140"/>
      <c r="F112" s="69" t="s">
        <v>226</v>
      </c>
      <c r="G112" s="70">
        <f>TRUNC(SUM(D108,D112,D113),2)</f>
        <v>3081.04</v>
      </c>
    </row>
    <row r="113" spans="1:7" ht="14.25" customHeight="1">
      <c r="A113" s="2" t="s">
        <v>30</v>
      </c>
      <c r="B113" s="3" t="s">
        <v>44</v>
      </c>
      <c r="C113" s="56">
        <v>5.4999999999999997E-3</v>
      </c>
      <c r="D113" s="57">
        <f>TRUNC((D108+D112)*C113,2)</f>
        <v>16.850000000000001</v>
      </c>
      <c r="E113" s="140"/>
      <c r="F113" s="67" t="s">
        <v>227</v>
      </c>
      <c r="G113" s="71">
        <f>(100-8.65)/100</f>
        <v>0.91349999999999998</v>
      </c>
    </row>
    <row r="114" spans="1:7" ht="14.25" customHeight="1">
      <c r="A114" s="2" t="s">
        <v>33</v>
      </c>
      <c r="B114" s="3" t="s">
        <v>163</v>
      </c>
      <c r="C114" s="56">
        <f t="shared" ref="C114:D114" si="4">SUM(C115:C117)</f>
        <v>8.6499999999999994E-2</v>
      </c>
      <c r="D114" s="57">
        <f t="shared" si="4"/>
        <v>291.73</v>
      </c>
      <c r="F114" s="69" t="s">
        <v>224</v>
      </c>
      <c r="G114" s="70">
        <f>TRUNC((G112/G113),2)</f>
        <v>3372.78</v>
      </c>
    </row>
    <row r="115" spans="1:7" ht="14.25" customHeight="1">
      <c r="A115" s="2" t="s">
        <v>164</v>
      </c>
      <c r="B115" s="3" t="s">
        <v>45</v>
      </c>
      <c r="C115" s="56">
        <v>6.4999999999999997E-3</v>
      </c>
      <c r="D115" s="57">
        <f t="shared" ref="D115:D117" si="5">TRUNC(($G$114*C115),2)</f>
        <v>21.92</v>
      </c>
    </row>
    <row r="116" spans="1:7" ht="14.25" customHeight="1">
      <c r="A116" s="2" t="s">
        <v>165</v>
      </c>
      <c r="B116" s="3" t="s">
        <v>47</v>
      </c>
      <c r="C116" s="56">
        <v>0.03</v>
      </c>
      <c r="D116" s="57">
        <f t="shared" si="5"/>
        <v>101.18</v>
      </c>
    </row>
    <row r="117" spans="1:7" ht="14.25" customHeight="1">
      <c r="A117" s="2" t="s">
        <v>166</v>
      </c>
      <c r="B117" s="3" t="s">
        <v>49</v>
      </c>
      <c r="C117" s="56">
        <v>0.05</v>
      </c>
      <c r="D117" s="57">
        <f t="shared" si="5"/>
        <v>168.63</v>
      </c>
    </row>
    <row r="118" spans="1:7" ht="14.25" customHeight="1">
      <c r="A118" s="2" t="s">
        <v>43</v>
      </c>
      <c r="B118" s="3"/>
      <c r="C118" s="2"/>
      <c r="D118" s="9">
        <f>TRUNC(SUM(D112:D114),2)</f>
        <v>376</v>
      </c>
    </row>
    <row r="119" spans="1:7" ht="14.25" customHeight="1">
      <c r="A119" s="14"/>
      <c r="C119" s="14"/>
      <c r="D119" s="15"/>
    </row>
    <row r="120" spans="1:7" ht="14.25" customHeight="1">
      <c r="A120" s="115" t="s">
        <v>167</v>
      </c>
      <c r="B120" s="116"/>
      <c r="C120" s="116"/>
      <c r="D120" s="117"/>
    </row>
    <row r="121" spans="1:7" ht="14.25" customHeight="1">
      <c r="A121" s="2" t="s">
        <v>2</v>
      </c>
      <c r="B121" s="2" t="s">
        <v>168</v>
      </c>
      <c r="C121" s="2" t="s">
        <v>94</v>
      </c>
      <c r="D121" s="2" t="s">
        <v>5</v>
      </c>
    </row>
    <row r="122" spans="1:7" ht="14.25" customHeight="1">
      <c r="A122" s="2" t="s">
        <v>27</v>
      </c>
      <c r="B122" s="3" t="s">
        <v>21</v>
      </c>
      <c r="C122" s="3"/>
      <c r="D122" s="9">
        <f>D17</f>
        <v>1456.03</v>
      </c>
    </row>
    <row r="123" spans="1:7" ht="14.25" customHeight="1">
      <c r="A123" s="2" t="s">
        <v>30</v>
      </c>
      <c r="B123" s="3" t="s">
        <v>46</v>
      </c>
      <c r="C123" s="3"/>
      <c r="D123" s="9">
        <f>D56</f>
        <v>1376.07</v>
      </c>
    </row>
    <row r="124" spans="1:7" ht="14.25" customHeight="1">
      <c r="A124" s="2" t="s">
        <v>33</v>
      </c>
      <c r="B124" s="3" t="s">
        <v>100</v>
      </c>
      <c r="C124" s="3"/>
      <c r="D124" s="9">
        <f>D66</f>
        <v>90.71</v>
      </c>
    </row>
    <row r="125" spans="1:7" ht="14.25" customHeight="1">
      <c r="A125" s="2" t="s">
        <v>35</v>
      </c>
      <c r="B125" s="3" t="s">
        <v>169</v>
      </c>
      <c r="C125" s="3"/>
      <c r="D125" s="9">
        <f>D93</f>
        <v>57.08</v>
      </c>
    </row>
    <row r="126" spans="1:7" ht="14.25" customHeight="1">
      <c r="A126" s="2" t="s">
        <v>38</v>
      </c>
      <c r="B126" s="3" t="s">
        <v>147</v>
      </c>
      <c r="C126" s="3"/>
      <c r="D126" s="9">
        <f>D101</f>
        <v>16.88</v>
      </c>
    </row>
    <row r="127" spans="1:7" ht="14.25" customHeight="1">
      <c r="A127" s="3" t="s">
        <v>170</v>
      </c>
      <c r="B127" s="3"/>
      <c r="C127" s="3"/>
      <c r="D127" s="9">
        <f>TRUNC(SUM(D122:D126),2)</f>
        <v>2996.77</v>
      </c>
    </row>
    <row r="128" spans="1:7" ht="14.25" customHeight="1">
      <c r="A128" s="2" t="s">
        <v>40</v>
      </c>
      <c r="B128" s="3" t="s">
        <v>159</v>
      </c>
      <c r="C128" s="3"/>
      <c r="D128" s="9">
        <f>D118</f>
        <v>376</v>
      </c>
    </row>
    <row r="129" spans="1:4" ht="14.25" customHeight="1">
      <c r="A129" s="72" t="s">
        <v>171</v>
      </c>
      <c r="B129" s="27"/>
      <c r="C129" s="27"/>
      <c r="D129" s="73">
        <f>TRUNC((SUM(D122:D126)+D128),2)</f>
        <v>3372.77</v>
      </c>
    </row>
    <row r="130" spans="1:4" ht="14.25" customHeight="1"/>
    <row r="131" spans="1:4" ht="14.25" customHeight="1"/>
    <row r="132" spans="1:4" ht="14.25" customHeight="1"/>
    <row r="133" spans="1:4" ht="14.25" customHeight="1"/>
    <row r="134" spans="1:4" ht="14.25" customHeight="1"/>
    <row r="135" spans="1:4" ht="14.25" customHeight="1"/>
    <row r="136" spans="1:4" ht="14.25" customHeight="1"/>
    <row r="137" spans="1:4" ht="14.25" customHeight="1"/>
    <row r="138" spans="1:4" ht="14.25" customHeight="1"/>
    <row r="139" spans="1:4" ht="14.25" customHeight="1"/>
    <row r="140" spans="1:4" ht="14.25" customHeight="1"/>
    <row r="141" spans="1:4" ht="14.25" customHeight="1"/>
    <row r="142" spans="1:4" ht="14.25" customHeight="1"/>
    <row r="143" spans="1:4" ht="14.25" customHeight="1"/>
    <row r="144" spans="1: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">
    <mergeCell ref="A110:D110"/>
    <mergeCell ref="F110:G110"/>
    <mergeCell ref="A120:D120"/>
    <mergeCell ref="A42:D42"/>
    <mergeCell ref="A51:D51"/>
    <mergeCell ref="A58:D58"/>
    <mergeCell ref="A68:B71"/>
    <mergeCell ref="A73:D73"/>
    <mergeCell ref="A74:D74"/>
    <mergeCell ref="A84:D84"/>
    <mergeCell ref="A26:B28"/>
    <mergeCell ref="A30:D30"/>
    <mergeCell ref="A89:D89"/>
    <mergeCell ref="A95:D95"/>
    <mergeCell ref="A103:B108"/>
    <mergeCell ref="A1:D1"/>
    <mergeCell ref="F1:G1"/>
    <mergeCell ref="A9:D9"/>
    <mergeCell ref="A19:D19"/>
    <mergeCell ref="A20:D20"/>
  </mergeCells>
  <pageMargins left="0.511811024" right="0.511811024" top="0.78740157499999996" bottom="0.78740157499999996" header="0" footer="0"/>
  <pageSetup paperSize="9" orientation="portrait"/>
  <legacyDrawing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11.xml><?xml version="1.0" encoding="utf-8"?>
<worksheet xmlns="http://schemas.openxmlformats.org/spreadsheetml/2006/main" xmlns:r="http://schemas.openxmlformats.org/officeDocument/2006/relationships">
  <dimension ref="A1:G1000"/>
  <sheetViews>
    <sheetView workbookViewId="0">
      <selection activeCell="E35" sqref="E35"/>
    </sheetView>
  </sheetViews>
  <sheetFormatPr defaultColWidth="12.6640625" defaultRowHeight="15" customHeight="1"/>
  <cols>
    <col min="1" max="1" width="11.5" customWidth="1"/>
    <col min="2" max="2" width="49.1640625" customWidth="1"/>
    <col min="3" max="3" width="24.25" customWidth="1"/>
    <col min="4" max="4" width="18.1640625" customWidth="1"/>
    <col min="5" max="5" width="8" customWidth="1"/>
    <col min="6" max="6" width="25.6640625" customWidth="1"/>
    <col min="7" max="7" width="10" customWidth="1"/>
    <col min="8" max="26" width="8" customWidth="1"/>
  </cols>
  <sheetData>
    <row r="1" spans="1:7" ht="14.25" customHeight="1">
      <c r="A1" s="110" t="s">
        <v>0</v>
      </c>
      <c r="B1" s="111"/>
      <c r="C1" s="111"/>
      <c r="D1" s="112"/>
      <c r="E1" s="138"/>
      <c r="F1" s="113" t="s">
        <v>1</v>
      </c>
      <c r="G1" s="114"/>
    </row>
    <row r="2" spans="1:7" ht="14.25" customHeight="1">
      <c r="A2" s="2" t="s">
        <v>2</v>
      </c>
      <c r="B2" s="3" t="s">
        <v>3</v>
      </c>
      <c r="C2" s="2" t="s">
        <v>4</v>
      </c>
      <c r="D2" s="2" t="s">
        <v>5</v>
      </c>
      <c r="E2" s="138"/>
      <c r="F2" s="18" t="s">
        <v>3</v>
      </c>
      <c r="G2" s="18" t="s">
        <v>5</v>
      </c>
    </row>
    <row r="3" spans="1:7" ht="14.25" customHeight="1">
      <c r="A3" s="2">
        <v>1</v>
      </c>
      <c r="B3" s="3" t="s">
        <v>6</v>
      </c>
      <c r="C3" s="74" t="s">
        <v>230</v>
      </c>
      <c r="D3" s="2" t="s">
        <v>206</v>
      </c>
      <c r="E3" s="138"/>
      <c r="F3" s="3" t="s">
        <v>8</v>
      </c>
      <c r="G3" s="45">
        <v>4.1500000000000004</v>
      </c>
    </row>
    <row r="4" spans="1:7" ht="14.25" customHeight="1">
      <c r="A4" s="2">
        <v>2</v>
      </c>
      <c r="B4" s="3" t="s">
        <v>9</v>
      </c>
      <c r="C4" s="2"/>
      <c r="D4" s="2">
        <v>5143</v>
      </c>
      <c r="E4" s="138"/>
      <c r="F4" s="3" t="s">
        <v>11</v>
      </c>
      <c r="G4" s="45">
        <v>16</v>
      </c>
    </row>
    <row r="5" spans="1:7" ht="14.25" customHeight="1">
      <c r="A5" s="2">
        <v>3</v>
      </c>
      <c r="B5" s="3" t="s">
        <v>12</v>
      </c>
      <c r="C5" s="2" t="s">
        <v>232</v>
      </c>
      <c r="D5" s="46">
        <v>1456.03</v>
      </c>
      <c r="E5" s="138"/>
      <c r="F5" s="3" t="s">
        <v>14</v>
      </c>
      <c r="G5" s="47">
        <v>22</v>
      </c>
    </row>
    <row r="6" spans="1:7" ht="14.25" customHeight="1">
      <c r="A6" s="2">
        <v>4</v>
      </c>
      <c r="B6" s="3" t="s">
        <v>15</v>
      </c>
      <c r="C6" s="2" t="s">
        <v>208</v>
      </c>
      <c r="D6" s="2"/>
      <c r="E6" s="138"/>
      <c r="F6" s="3" t="s">
        <v>17</v>
      </c>
      <c r="G6" s="48">
        <v>0.03</v>
      </c>
    </row>
    <row r="7" spans="1:7" ht="14.25" customHeight="1">
      <c r="A7" s="2">
        <v>5</v>
      </c>
      <c r="B7" s="3" t="s">
        <v>18</v>
      </c>
      <c r="C7" s="2"/>
      <c r="D7" s="2" t="s">
        <v>19</v>
      </c>
      <c r="E7" s="138"/>
      <c r="F7" s="3" t="s">
        <v>209</v>
      </c>
      <c r="G7" s="49">
        <v>1</v>
      </c>
    </row>
    <row r="8" spans="1:7" ht="14.25" customHeight="1">
      <c r="E8" s="138"/>
      <c r="F8" s="1"/>
      <c r="G8" s="50"/>
    </row>
    <row r="9" spans="1:7" ht="14.25" customHeight="1">
      <c r="A9" s="115" t="s">
        <v>21</v>
      </c>
      <c r="B9" s="116"/>
      <c r="C9" s="116"/>
      <c r="D9" s="117"/>
      <c r="E9" s="138"/>
      <c r="F9" s="1"/>
      <c r="G9" s="50"/>
    </row>
    <row r="10" spans="1:7" ht="14.25" customHeight="1">
      <c r="A10" s="2" t="s">
        <v>24</v>
      </c>
      <c r="B10" s="3" t="s">
        <v>25</v>
      </c>
      <c r="C10" s="2" t="s">
        <v>4</v>
      </c>
      <c r="D10" s="2" t="s">
        <v>5</v>
      </c>
      <c r="E10" s="138"/>
      <c r="F10" s="1"/>
      <c r="G10" s="50"/>
    </row>
    <row r="11" spans="1:7" ht="14.25" customHeight="1">
      <c r="A11" s="2" t="s">
        <v>27</v>
      </c>
      <c r="B11" s="3" t="s">
        <v>28</v>
      </c>
      <c r="C11" s="2"/>
      <c r="D11" s="9">
        <f>D5</f>
        <v>1456.03</v>
      </c>
      <c r="E11" s="138"/>
      <c r="F11" s="1"/>
      <c r="G11" s="50"/>
    </row>
    <row r="12" spans="1:7" ht="14.25" customHeight="1">
      <c r="A12" s="2" t="s">
        <v>30</v>
      </c>
      <c r="B12" s="3" t="s">
        <v>31</v>
      </c>
      <c r="C12" s="75">
        <v>0.3</v>
      </c>
      <c r="D12" s="9">
        <f>D11*30%</f>
        <v>436.80899999999997</v>
      </c>
      <c r="E12" s="138"/>
      <c r="F12" s="1"/>
      <c r="G12" s="50"/>
    </row>
    <row r="13" spans="1:7" ht="14.25" customHeight="1">
      <c r="A13" s="2" t="s">
        <v>33</v>
      </c>
      <c r="B13" s="3" t="s">
        <v>34</v>
      </c>
      <c r="C13" s="2"/>
      <c r="D13" s="9"/>
      <c r="E13" s="138"/>
      <c r="F13" s="1"/>
      <c r="G13" s="50"/>
    </row>
    <row r="14" spans="1:7" ht="14.25" customHeight="1">
      <c r="A14" s="2" t="s">
        <v>35</v>
      </c>
      <c r="B14" s="3" t="s">
        <v>36</v>
      </c>
      <c r="C14" s="2"/>
      <c r="D14" s="9"/>
      <c r="E14" s="138"/>
      <c r="F14" s="1"/>
      <c r="G14" s="50"/>
    </row>
    <row r="15" spans="1:7" ht="14.25" customHeight="1">
      <c r="A15" s="2" t="s">
        <v>38</v>
      </c>
      <c r="B15" s="3" t="s">
        <v>39</v>
      </c>
      <c r="C15" s="2"/>
      <c r="D15" s="9"/>
      <c r="E15" s="138"/>
      <c r="F15" s="1"/>
      <c r="G15" s="50"/>
    </row>
    <row r="16" spans="1:7" ht="14.25" customHeight="1">
      <c r="A16" s="2" t="s">
        <v>40</v>
      </c>
      <c r="B16" s="3" t="s">
        <v>210</v>
      </c>
      <c r="C16" s="6"/>
      <c r="D16" s="9"/>
      <c r="E16" s="138"/>
      <c r="F16" s="1"/>
      <c r="G16" s="50"/>
    </row>
    <row r="17" spans="1:7" ht="14.25" customHeight="1">
      <c r="A17" s="2" t="s">
        <v>43</v>
      </c>
      <c r="B17" s="3"/>
      <c r="C17" s="2"/>
      <c r="D17" s="9">
        <f>TRUNC(SUM(D11:D16),2)</f>
        <v>1892.83</v>
      </c>
      <c r="E17" s="138"/>
      <c r="F17" s="1"/>
      <c r="G17" s="50"/>
    </row>
    <row r="18" spans="1:7" ht="14.25" customHeight="1">
      <c r="E18" s="138"/>
      <c r="F18" s="1"/>
      <c r="G18" s="50"/>
    </row>
    <row r="19" spans="1:7" ht="14.25" customHeight="1">
      <c r="A19" s="118" t="s">
        <v>46</v>
      </c>
      <c r="B19" s="119"/>
      <c r="C19" s="119"/>
      <c r="D19" s="120"/>
      <c r="E19" s="138"/>
      <c r="F19" s="1"/>
      <c r="G19" s="50"/>
    </row>
    <row r="20" spans="1:7" ht="14.25" customHeight="1">
      <c r="A20" s="113" t="s">
        <v>48</v>
      </c>
      <c r="B20" s="114"/>
      <c r="C20" s="114"/>
      <c r="D20" s="114"/>
      <c r="E20" s="138"/>
      <c r="F20" s="1"/>
      <c r="G20" s="50"/>
    </row>
    <row r="21" spans="1:7" ht="14.25" customHeight="1">
      <c r="A21" s="2" t="s">
        <v>50</v>
      </c>
      <c r="B21" s="3" t="s">
        <v>51</v>
      </c>
      <c r="C21" s="2" t="s">
        <v>4</v>
      </c>
      <c r="D21" s="2" t="s">
        <v>5</v>
      </c>
      <c r="E21" s="138"/>
      <c r="F21" s="1"/>
      <c r="G21" s="50"/>
    </row>
    <row r="22" spans="1:7" ht="14.25" customHeight="1">
      <c r="A22" s="2" t="s">
        <v>27</v>
      </c>
      <c r="B22" s="3" t="s">
        <v>52</v>
      </c>
      <c r="C22" s="51">
        <f>(1/12)</f>
        <v>8.3333333333333329E-2</v>
      </c>
      <c r="D22" s="9">
        <f t="shared" ref="D22:D23" si="0">TRUNC($D$17*C22,2)</f>
        <v>157.72999999999999</v>
      </c>
      <c r="E22" s="138"/>
      <c r="F22" s="1"/>
      <c r="G22" s="50"/>
    </row>
    <row r="23" spans="1:7" ht="14.25" customHeight="1">
      <c r="A23" s="2" t="s">
        <v>30</v>
      </c>
      <c r="B23" s="3" t="s">
        <v>54</v>
      </c>
      <c r="C23" s="51">
        <f>(((1+1/3)/12))</f>
        <v>0.1111111111111111</v>
      </c>
      <c r="D23" s="9">
        <f t="shared" si="0"/>
        <v>210.31</v>
      </c>
      <c r="E23" s="139"/>
      <c r="F23" s="1"/>
      <c r="G23" s="50"/>
    </row>
    <row r="24" spans="1:7" ht="14.25" customHeight="1">
      <c r="A24" s="2" t="s">
        <v>43</v>
      </c>
      <c r="B24" s="3"/>
      <c r="C24" s="3"/>
      <c r="D24" s="9">
        <f>TRUNC(SUM(D22:D23),2)</f>
        <v>368.04</v>
      </c>
      <c r="E24" s="138"/>
      <c r="F24" s="1"/>
      <c r="G24" s="50"/>
    </row>
    <row r="25" spans="1:7" ht="14.25" customHeight="1">
      <c r="A25" s="14"/>
      <c r="D25" s="15"/>
      <c r="E25" s="138"/>
      <c r="F25" s="1"/>
      <c r="G25" s="50"/>
    </row>
    <row r="26" spans="1:7" ht="14.25" customHeight="1">
      <c r="A26" s="129" t="s">
        <v>211</v>
      </c>
      <c r="B26" s="130"/>
      <c r="C26" s="52" t="s">
        <v>212</v>
      </c>
      <c r="D26" s="53">
        <f>D17</f>
        <v>1892.83</v>
      </c>
      <c r="E26" s="138"/>
      <c r="F26" s="1"/>
      <c r="G26" s="1"/>
    </row>
    <row r="27" spans="1:7" ht="14.25" customHeight="1">
      <c r="A27" s="131"/>
      <c r="B27" s="132"/>
      <c r="C27" s="54" t="s">
        <v>213</v>
      </c>
      <c r="D27" s="53">
        <f>D24</f>
        <v>368.04</v>
      </c>
      <c r="E27" s="138"/>
      <c r="F27" s="1"/>
      <c r="G27" s="1"/>
    </row>
    <row r="28" spans="1:7" ht="14.25" customHeight="1">
      <c r="A28" s="133"/>
      <c r="B28" s="134"/>
      <c r="C28" s="52" t="s">
        <v>199</v>
      </c>
      <c r="D28" s="55">
        <f>TRUNC(SUM(D26:D27),2)</f>
        <v>2260.87</v>
      </c>
      <c r="E28" s="138"/>
      <c r="F28" s="1"/>
      <c r="G28" s="1"/>
    </row>
    <row r="29" spans="1:7" ht="14.25" customHeight="1">
      <c r="A29" s="14"/>
      <c r="B29" s="14"/>
      <c r="C29" s="22"/>
      <c r="E29" s="138"/>
      <c r="F29" s="1"/>
      <c r="G29" s="1"/>
    </row>
    <row r="30" spans="1:7" ht="14.25" customHeight="1">
      <c r="A30" s="113" t="s">
        <v>65</v>
      </c>
      <c r="B30" s="114"/>
      <c r="C30" s="114"/>
      <c r="D30" s="114"/>
      <c r="E30" s="138"/>
    </row>
    <row r="31" spans="1:7" ht="14.25" customHeight="1">
      <c r="A31" s="2" t="s">
        <v>66</v>
      </c>
      <c r="B31" s="3" t="s">
        <v>67</v>
      </c>
      <c r="C31" s="2" t="s">
        <v>23</v>
      </c>
      <c r="D31" s="2" t="s">
        <v>68</v>
      </c>
      <c r="E31" s="138"/>
    </row>
    <row r="32" spans="1:7" ht="14.25" customHeight="1">
      <c r="A32" s="2" t="s">
        <v>27</v>
      </c>
      <c r="B32" s="3" t="s">
        <v>69</v>
      </c>
      <c r="C32" s="23">
        <v>0.2</v>
      </c>
      <c r="D32" s="9">
        <f t="shared" ref="D32:D39" si="1">TRUNC(($D$28*C32),2)</f>
        <v>452.17</v>
      </c>
      <c r="E32" s="138"/>
    </row>
    <row r="33" spans="1:6" ht="14.25" customHeight="1">
      <c r="A33" s="2" t="s">
        <v>30</v>
      </c>
      <c r="B33" s="3" t="s">
        <v>70</v>
      </c>
      <c r="C33" s="23">
        <v>2.5000000000000001E-2</v>
      </c>
      <c r="D33" s="9">
        <f t="shared" si="1"/>
        <v>56.52</v>
      </c>
      <c r="E33" s="138"/>
    </row>
    <row r="34" spans="1:6" ht="14.25" customHeight="1">
      <c r="A34" s="2" t="s">
        <v>33</v>
      </c>
      <c r="B34" s="3" t="s">
        <v>71</v>
      </c>
      <c r="C34" s="56">
        <v>0.03</v>
      </c>
      <c r="D34" s="57">
        <f t="shared" si="1"/>
        <v>67.819999999999993</v>
      </c>
      <c r="E34" s="140"/>
    </row>
    <row r="35" spans="1:6" ht="14.25" customHeight="1">
      <c r="A35" s="2" t="s">
        <v>35</v>
      </c>
      <c r="B35" s="3" t="s">
        <v>72</v>
      </c>
      <c r="C35" s="23">
        <v>1.4999999999999999E-2</v>
      </c>
      <c r="D35" s="9">
        <f t="shared" si="1"/>
        <v>33.909999999999997</v>
      </c>
      <c r="E35" s="138"/>
    </row>
    <row r="36" spans="1:6" ht="14.25" customHeight="1">
      <c r="A36" s="2" t="s">
        <v>38</v>
      </c>
      <c r="B36" s="3" t="s">
        <v>73</v>
      </c>
      <c r="C36" s="23">
        <v>0.01</v>
      </c>
      <c r="D36" s="9">
        <f t="shared" si="1"/>
        <v>22.6</v>
      </c>
      <c r="E36" s="138"/>
    </row>
    <row r="37" spans="1:6" ht="14.25" customHeight="1">
      <c r="A37" s="2" t="s">
        <v>40</v>
      </c>
      <c r="B37" s="3" t="s">
        <v>74</v>
      </c>
      <c r="C37" s="23">
        <v>6.0000000000000001E-3</v>
      </c>
      <c r="D37" s="9">
        <f t="shared" si="1"/>
        <v>13.56</v>
      </c>
      <c r="E37" s="138"/>
    </row>
    <row r="38" spans="1:6" ht="14.25" customHeight="1">
      <c r="A38" s="2" t="s">
        <v>75</v>
      </c>
      <c r="B38" s="3" t="s">
        <v>76</v>
      </c>
      <c r="C38" s="23">
        <v>2E-3</v>
      </c>
      <c r="D38" s="9">
        <f t="shared" si="1"/>
        <v>4.5199999999999996</v>
      </c>
      <c r="E38" s="138"/>
    </row>
    <row r="39" spans="1:6" ht="14.25" customHeight="1">
      <c r="A39" s="2" t="s">
        <v>77</v>
      </c>
      <c r="B39" s="3" t="s">
        <v>78</v>
      </c>
      <c r="C39" s="23">
        <v>0.08</v>
      </c>
      <c r="D39" s="9">
        <f t="shared" si="1"/>
        <v>180.86</v>
      </c>
      <c r="E39" s="138"/>
    </row>
    <row r="40" spans="1:6" ht="14.25" customHeight="1">
      <c r="A40" s="2" t="s">
        <v>43</v>
      </c>
      <c r="B40" s="3"/>
      <c r="C40" s="23">
        <f>SUBTOTAL(109,Eletricista!$C$32:$C$39)</f>
        <v>0.36800000000000005</v>
      </c>
      <c r="D40" s="9">
        <f>TRUNC(SUM(D32:D39),2)</f>
        <v>831.96</v>
      </c>
      <c r="E40" s="138"/>
    </row>
    <row r="41" spans="1:6" ht="14.25" customHeight="1">
      <c r="A41" s="14"/>
      <c r="C41" s="24"/>
      <c r="D41" s="15"/>
      <c r="E41" s="138"/>
    </row>
    <row r="42" spans="1:6" ht="14.25" customHeight="1">
      <c r="A42" s="113" t="s">
        <v>83</v>
      </c>
      <c r="B42" s="114"/>
      <c r="C42" s="114"/>
      <c r="D42" s="114"/>
      <c r="E42" s="138"/>
    </row>
    <row r="43" spans="1:6" ht="14.25" customHeight="1">
      <c r="A43" s="2" t="s">
        <v>84</v>
      </c>
      <c r="B43" s="3" t="s">
        <v>85</v>
      </c>
      <c r="C43" s="2" t="s">
        <v>4</v>
      </c>
      <c r="D43" s="2" t="s">
        <v>5</v>
      </c>
      <c r="E43" s="138"/>
    </row>
    <row r="44" spans="1:6" ht="14.25" customHeight="1">
      <c r="A44" s="2" t="s">
        <v>27</v>
      </c>
      <c r="B44" s="3" t="s">
        <v>86</v>
      </c>
      <c r="C44" s="3"/>
      <c r="D44" s="57">
        <f>TRUNC(((G5*G3)*2)-((D5/100)*6),2)</f>
        <v>95.23</v>
      </c>
      <c r="E44" s="138"/>
    </row>
    <row r="45" spans="1:6" ht="14.25" customHeight="1">
      <c r="A45" s="2" t="s">
        <v>30</v>
      </c>
      <c r="B45" s="3" t="s">
        <v>87</v>
      </c>
      <c r="C45" s="3"/>
      <c r="D45" s="57">
        <f>TRUNC((((G5*G4))-(((G5*G4))*0.2)),2)</f>
        <v>281.60000000000002</v>
      </c>
      <c r="E45" s="138"/>
    </row>
    <row r="46" spans="1:6" ht="14.25" customHeight="1">
      <c r="A46" s="2" t="s">
        <v>33</v>
      </c>
      <c r="B46" s="3" t="s">
        <v>88</v>
      </c>
      <c r="C46" s="6" t="s">
        <v>208</v>
      </c>
      <c r="D46" s="57">
        <v>5</v>
      </c>
      <c r="E46" s="140"/>
      <c r="F46" s="36"/>
    </row>
    <row r="47" spans="1:6" ht="14.25" customHeight="1">
      <c r="A47" s="2" t="s">
        <v>35</v>
      </c>
      <c r="B47" s="3" t="s">
        <v>89</v>
      </c>
      <c r="C47" s="6" t="s">
        <v>208</v>
      </c>
      <c r="D47" s="57">
        <v>4</v>
      </c>
      <c r="E47" s="138"/>
    </row>
    <row r="48" spans="1:6" ht="14.25" customHeight="1">
      <c r="A48" s="2" t="s">
        <v>38</v>
      </c>
      <c r="B48" s="3" t="s">
        <v>91</v>
      </c>
      <c r="C48" s="6" t="s">
        <v>208</v>
      </c>
      <c r="D48" s="57">
        <v>15</v>
      </c>
      <c r="E48" s="138"/>
    </row>
    <row r="49" spans="1:5" ht="14.25" customHeight="1">
      <c r="A49" s="2" t="s">
        <v>43</v>
      </c>
      <c r="B49" s="3"/>
      <c r="C49" s="3"/>
      <c r="D49" s="9">
        <f>TRUNC(SUM(D44:D48),2)</f>
        <v>400.83</v>
      </c>
      <c r="E49" s="138"/>
    </row>
    <row r="50" spans="1:5" ht="14.25" customHeight="1">
      <c r="A50" s="14"/>
      <c r="D50" s="15"/>
      <c r="E50" s="138"/>
    </row>
    <row r="51" spans="1:5" ht="14.25" customHeight="1">
      <c r="A51" s="113" t="s">
        <v>97</v>
      </c>
      <c r="B51" s="114"/>
      <c r="C51" s="114"/>
      <c r="D51" s="114"/>
      <c r="E51" s="138"/>
    </row>
    <row r="52" spans="1:5" ht="14.25" customHeight="1">
      <c r="A52" s="2" t="s">
        <v>98</v>
      </c>
      <c r="B52" s="3" t="s">
        <v>99</v>
      </c>
      <c r="C52" s="2" t="s">
        <v>4</v>
      </c>
      <c r="D52" s="2" t="s">
        <v>5</v>
      </c>
      <c r="E52" s="138"/>
    </row>
    <row r="53" spans="1:5" ht="14.25" customHeight="1">
      <c r="A53" s="2" t="s">
        <v>50</v>
      </c>
      <c r="B53" s="3" t="s">
        <v>51</v>
      </c>
      <c r="C53" s="2"/>
      <c r="D53" s="9">
        <f>D24</f>
        <v>368.04</v>
      </c>
      <c r="E53" s="138"/>
    </row>
    <row r="54" spans="1:5" ht="14.25" customHeight="1">
      <c r="A54" s="2" t="s">
        <v>66</v>
      </c>
      <c r="B54" s="3" t="s">
        <v>67</v>
      </c>
      <c r="C54" s="2"/>
      <c r="D54" s="9">
        <f>D40</f>
        <v>831.96</v>
      </c>
      <c r="E54" s="138"/>
    </row>
    <row r="55" spans="1:5" ht="14.25" customHeight="1">
      <c r="A55" s="2" t="s">
        <v>84</v>
      </c>
      <c r="B55" s="3" t="s">
        <v>85</v>
      </c>
      <c r="C55" s="2"/>
      <c r="D55" s="9">
        <f>D49</f>
        <v>400.83</v>
      </c>
      <c r="E55" s="138"/>
    </row>
    <row r="56" spans="1:5" ht="14.25" customHeight="1">
      <c r="A56" s="2" t="s">
        <v>43</v>
      </c>
      <c r="B56" s="3"/>
      <c r="C56" s="2"/>
      <c r="D56" s="9">
        <f>TRUNC(SUM(D53:D55),2)</f>
        <v>1600.83</v>
      </c>
      <c r="E56" s="138"/>
    </row>
    <row r="57" spans="1:5" ht="14.25" customHeight="1">
      <c r="E57" s="138"/>
    </row>
    <row r="58" spans="1:5" ht="14.25" customHeight="1">
      <c r="A58" s="115" t="s">
        <v>100</v>
      </c>
      <c r="B58" s="116"/>
      <c r="C58" s="116"/>
      <c r="D58" s="117"/>
      <c r="E58" s="138"/>
    </row>
    <row r="59" spans="1:5" ht="14.25" customHeight="1">
      <c r="A59" s="2" t="s">
        <v>101</v>
      </c>
      <c r="B59" s="3" t="s">
        <v>102</v>
      </c>
      <c r="C59" s="2" t="s">
        <v>4</v>
      </c>
      <c r="D59" s="2" t="s">
        <v>5</v>
      </c>
      <c r="E59" s="138"/>
    </row>
    <row r="60" spans="1:5" ht="14.25" customHeight="1">
      <c r="A60" s="2" t="s">
        <v>27</v>
      </c>
      <c r="B60" s="59" t="s">
        <v>103</v>
      </c>
      <c r="C60" s="60">
        <f>((1/12)*5%)</f>
        <v>4.1666666666666666E-3</v>
      </c>
      <c r="D60" s="61">
        <f>TRUNC(($D$17*C60),2)</f>
        <v>7.88</v>
      </c>
      <c r="E60" s="140"/>
    </row>
    <row r="61" spans="1:5" ht="14.25" customHeight="1">
      <c r="A61" s="2" t="s">
        <v>30</v>
      </c>
      <c r="B61" s="59" t="s">
        <v>104</v>
      </c>
      <c r="C61" s="51">
        <v>0.08</v>
      </c>
      <c r="D61" s="62">
        <f>TRUNC(D60*C61,2)</f>
        <v>0.63</v>
      </c>
      <c r="E61" s="138"/>
    </row>
    <row r="62" spans="1:5" ht="14.25" customHeight="1">
      <c r="A62" s="2" t="s">
        <v>33</v>
      </c>
      <c r="B62" s="59" t="s">
        <v>105</v>
      </c>
      <c r="C62" s="60">
        <f>(0.08*0.4*0.05)</f>
        <v>1.6000000000000001E-3</v>
      </c>
      <c r="D62" s="61">
        <f t="shared" ref="D62:D63" si="2">TRUNC(($D$17*C62),2)</f>
        <v>3.02</v>
      </c>
      <c r="E62" s="140"/>
    </row>
    <row r="63" spans="1:5" ht="14.25" customHeight="1">
      <c r="A63" s="2" t="s">
        <v>35</v>
      </c>
      <c r="B63" s="59" t="s">
        <v>106</v>
      </c>
      <c r="C63" s="51">
        <f>(((7/30)/12)*0.95)</f>
        <v>1.8472222222222223E-2</v>
      </c>
      <c r="D63" s="62">
        <f t="shared" si="2"/>
        <v>34.96</v>
      </c>
      <c r="E63" s="138"/>
    </row>
    <row r="64" spans="1:5" ht="14.25" customHeight="1">
      <c r="A64" s="2" t="s">
        <v>38</v>
      </c>
      <c r="B64" s="59" t="s">
        <v>214</v>
      </c>
      <c r="C64" s="51">
        <f>C40</f>
        <v>0.36800000000000005</v>
      </c>
      <c r="D64" s="62">
        <f>TRUNC(D63*C64,2)</f>
        <v>12.86</v>
      </c>
      <c r="E64" s="138"/>
    </row>
    <row r="65" spans="1:5" ht="14.25" customHeight="1">
      <c r="A65" s="2" t="s">
        <v>40</v>
      </c>
      <c r="B65" s="59" t="s">
        <v>107</v>
      </c>
      <c r="C65" s="60">
        <f>(0.08*0.4*0.95)</f>
        <v>3.04E-2</v>
      </c>
      <c r="D65" s="61">
        <f>TRUNC(($D$17*C65),2)</f>
        <v>57.54</v>
      </c>
      <c r="E65" s="140"/>
    </row>
    <row r="66" spans="1:5" ht="14.25" customHeight="1">
      <c r="A66" s="2" t="s">
        <v>43</v>
      </c>
      <c r="B66" s="3"/>
      <c r="C66" s="3"/>
      <c r="D66" s="9">
        <f>TRUNC(SUM(D60:D65),2)</f>
        <v>116.89</v>
      </c>
      <c r="E66" s="138"/>
    </row>
    <row r="67" spans="1:5" ht="14.25" customHeight="1">
      <c r="A67" s="14"/>
      <c r="D67" s="15"/>
      <c r="E67" s="138"/>
    </row>
    <row r="68" spans="1:5" ht="14.25" customHeight="1">
      <c r="A68" s="129" t="s">
        <v>215</v>
      </c>
      <c r="B68" s="130"/>
      <c r="C68" s="52" t="s">
        <v>212</v>
      </c>
      <c r="D68" s="53">
        <f>D17</f>
        <v>1892.83</v>
      </c>
      <c r="E68" s="138"/>
    </row>
    <row r="69" spans="1:5" ht="14.25" customHeight="1">
      <c r="A69" s="131"/>
      <c r="B69" s="132"/>
      <c r="C69" s="54" t="s">
        <v>216</v>
      </c>
      <c r="D69" s="53">
        <f>D56</f>
        <v>1600.83</v>
      </c>
      <c r="E69" s="138"/>
    </row>
    <row r="70" spans="1:5" ht="14.25" customHeight="1">
      <c r="A70" s="131"/>
      <c r="B70" s="132"/>
      <c r="C70" s="52" t="s">
        <v>217</v>
      </c>
      <c r="D70" s="53">
        <f>D66</f>
        <v>116.89</v>
      </c>
      <c r="E70" s="138"/>
    </row>
    <row r="71" spans="1:5" ht="14.25" customHeight="1">
      <c r="A71" s="133"/>
      <c r="B71" s="134"/>
      <c r="C71" s="54" t="s">
        <v>199</v>
      </c>
      <c r="D71" s="55">
        <f>TRUNC((SUM(D68:D70)),2)</f>
        <v>3610.55</v>
      </c>
      <c r="E71" s="138"/>
    </row>
    <row r="72" spans="1:5" ht="14.25" customHeight="1">
      <c r="A72" s="14"/>
      <c r="D72" s="15"/>
      <c r="E72" s="138"/>
    </row>
    <row r="73" spans="1:5" ht="14.25" customHeight="1">
      <c r="A73" s="122" t="s">
        <v>119</v>
      </c>
      <c r="B73" s="119"/>
      <c r="C73" s="119"/>
      <c r="D73" s="120"/>
      <c r="E73" s="138"/>
    </row>
    <row r="74" spans="1:5" ht="14.25" customHeight="1">
      <c r="A74" s="113" t="s">
        <v>120</v>
      </c>
      <c r="B74" s="114"/>
      <c r="C74" s="114"/>
      <c r="D74" s="114"/>
      <c r="E74" s="138"/>
    </row>
    <row r="75" spans="1:5" ht="14.25" customHeight="1">
      <c r="A75" s="2" t="s">
        <v>121</v>
      </c>
      <c r="B75" s="3" t="s">
        <v>122</v>
      </c>
      <c r="C75" s="2" t="s">
        <v>123</v>
      </c>
      <c r="D75" s="2" t="s">
        <v>5</v>
      </c>
      <c r="E75" s="138"/>
    </row>
    <row r="76" spans="1:5" ht="14.25" customHeight="1">
      <c r="A76" s="2" t="s">
        <v>27</v>
      </c>
      <c r="B76" s="59" t="s">
        <v>124</v>
      </c>
      <c r="C76" s="60">
        <f>((1+1/3)/12)/12</f>
        <v>9.2592592592592587E-3</v>
      </c>
      <c r="D76" s="64">
        <f t="shared" ref="D76:D81" si="3">TRUNC(($D$71*C76),2)</f>
        <v>33.43</v>
      </c>
      <c r="E76" s="139"/>
    </row>
    <row r="77" spans="1:5" ht="14.25" customHeight="1">
      <c r="A77" s="2" t="s">
        <v>30</v>
      </c>
      <c r="B77" s="59" t="s">
        <v>125</v>
      </c>
      <c r="C77" s="60">
        <f>((2/30)/12)</f>
        <v>5.5555555555555558E-3</v>
      </c>
      <c r="D77" s="64">
        <f t="shared" si="3"/>
        <v>20.05</v>
      </c>
      <c r="E77" s="139"/>
    </row>
    <row r="78" spans="1:5" ht="14.25" customHeight="1">
      <c r="A78" s="2" t="s">
        <v>33</v>
      </c>
      <c r="B78" s="59" t="s">
        <v>126</v>
      </c>
      <c r="C78" s="60">
        <f>(((5/30)/12)*0.02)</f>
        <v>2.7777777777777778E-4</v>
      </c>
      <c r="D78" s="64">
        <f t="shared" si="3"/>
        <v>1</v>
      </c>
      <c r="E78" s="139"/>
    </row>
    <row r="79" spans="1:5" ht="14.25" customHeight="1">
      <c r="A79" s="2" t="s">
        <v>35</v>
      </c>
      <c r="B79" s="59" t="s">
        <v>127</v>
      </c>
      <c r="C79" s="60">
        <f>((15/30)/12)*0.08</f>
        <v>3.3333333333333331E-3</v>
      </c>
      <c r="D79" s="64">
        <f t="shared" si="3"/>
        <v>12.03</v>
      </c>
      <c r="E79" s="139"/>
    </row>
    <row r="80" spans="1:5" ht="14.25" customHeight="1">
      <c r="A80" s="2" t="s">
        <v>38</v>
      </c>
      <c r="B80" s="59" t="s">
        <v>128</v>
      </c>
      <c r="C80" s="60">
        <f>((1+1/3)/12)*0.03*((4/12))</f>
        <v>1.1111111111111109E-3</v>
      </c>
      <c r="D80" s="64">
        <f t="shared" si="3"/>
        <v>4.01</v>
      </c>
      <c r="E80" s="139"/>
    </row>
    <row r="81" spans="1:5" ht="14.25" customHeight="1">
      <c r="A81" s="2" t="s">
        <v>40</v>
      </c>
      <c r="B81" s="59" t="s">
        <v>218</v>
      </c>
      <c r="C81" s="60">
        <v>0</v>
      </c>
      <c r="D81" s="64">
        <f t="shared" si="3"/>
        <v>0</v>
      </c>
      <c r="E81" s="139"/>
    </row>
    <row r="82" spans="1:5" ht="14.25" customHeight="1">
      <c r="A82" s="2" t="s">
        <v>43</v>
      </c>
      <c r="B82" s="3"/>
      <c r="C82" s="23">
        <f>SUBTOTAL(109,Eletricista!$C$76:$C$81)</f>
        <v>1.9537037037037037E-2</v>
      </c>
      <c r="D82" s="9">
        <f>TRUNC(SUM(D76:D81),2)</f>
        <v>70.52</v>
      </c>
    </row>
    <row r="83" spans="1:5" ht="14.25" customHeight="1">
      <c r="A83" s="14"/>
      <c r="C83" s="14"/>
      <c r="D83" s="15"/>
    </row>
    <row r="84" spans="1:5" ht="14.25" customHeight="1">
      <c r="A84" s="113" t="s">
        <v>139</v>
      </c>
      <c r="B84" s="114"/>
      <c r="C84" s="114"/>
      <c r="D84" s="114"/>
    </row>
    <row r="85" spans="1:5" ht="14.25" customHeight="1">
      <c r="A85" s="2" t="s">
        <v>140</v>
      </c>
      <c r="B85" s="3" t="s">
        <v>141</v>
      </c>
      <c r="C85" s="2" t="s">
        <v>4</v>
      </c>
      <c r="D85" s="2" t="s">
        <v>5</v>
      </c>
    </row>
    <row r="86" spans="1:5" ht="14.25" customHeight="1">
      <c r="A86" s="2" t="s">
        <v>27</v>
      </c>
      <c r="B86" s="3" t="s">
        <v>142</v>
      </c>
      <c r="C86" s="2"/>
      <c r="D86" s="9"/>
    </row>
    <row r="87" spans="1:5" ht="14.25" customHeight="1">
      <c r="A87" s="2" t="s">
        <v>43</v>
      </c>
      <c r="B87" s="3"/>
      <c r="C87" s="2"/>
      <c r="D87" s="9">
        <f>SUBTOTAL(109,Eletricista!$D$86)</f>
        <v>0</v>
      </c>
    </row>
    <row r="88" spans="1:5" ht="14.25" customHeight="1"/>
    <row r="89" spans="1:5" ht="14.25" customHeight="1">
      <c r="A89" s="113" t="s">
        <v>143</v>
      </c>
      <c r="B89" s="114"/>
      <c r="C89" s="114"/>
      <c r="D89" s="114"/>
    </row>
    <row r="90" spans="1:5" ht="14.25" customHeight="1">
      <c r="A90" s="2" t="s">
        <v>144</v>
      </c>
      <c r="B90" s="3" t="s">
        <v>145</v>
      </c>
      <c r="C90" s="2" t="s">
        <v>4</v>
      </c>
      <c r="D90" s="2" t="s">
        <v>5</v>
      </c>
    </row>
    <row r="91" spans="1:5" ht="14.25" customHeight="1">
      <c r="A91" s="2" t="s">
        <v>121</v>
      </c>
      <c r="B91" s="3" t="s">
        <v>122</v>
      </c>
      <c r="C91" s="3"/>
      <c r="D91" s="9">
        <f>D82</f>
        <v>70.52</v>
      </c>
    </row>
    <row r="92" spans="1:5" ht="14.25" customHeight="1">
      <c r="A92" s="2" t="s">
        <v>140</v>
      </c>
      <c r="B92" s="3" t="s">
        <v>146</v>
      </c>
      <c r="C92" s="3"/>
      <c r="D92" s="9">
        <f>Eletricista!$D$87</f>
        <v>0</v>
      </c>
    </row>
    <row r="93" spans="1:5" ht="14.25" customHeight="1">
      <c r="A93" s="2" t="s">
        <v>43</v>
      </c>
      <c r="B93" s="3"/>
      <c r="C93" s="3"/>
      <c r="D93" s="9">
        <f>TRUNC(SUM(D91:D92),2)</f>
        <v>70.52</v>
      </c>
    </row>
    <row r="94" spans="1:5" ht="14.25" customHeight="1"/>
    <row r="95" spans="1:5" ht="14.25" customHeight="1">
      <c r="A95" s="115" t="s">
        <v>147</v>
      </c>
      <c r="B95" s="116"/>
      <c r="C95" s="116"/>
      <c r="D95" s="117"/>
    </row>
    <row r="96" spans="1:5" ht="14.25" customHeight="1">
      <c r="A96" s="2" t="s">
        <v>148</v>
      </c>
      <c r="B96" s="3" t="s">
        <v>149</v>
      </c>
      <c r="C96" s="2" t="s">
        <v>4</v>
      </c>
      <c r="D96" s="2" t="s">
        <v>5</v>
      </c>
    </row>
    <row r="97" spans="1:7" ht="14.25" customHeight="1">
      <c r="A97" s="2" t="s">
        <v>27</v>
      </c>
      <c r="B97" s="3" t="s">
        <v>219</v>
      </c>
      <c r="C97" s="3"/>
      <c r="D97" s="66">
        <v>16.87</v>
      </c>
      <c r="E97" s="58"/>
    </row>
    <row r="98" spans="1:7" ht="14.25" customHeight="1">
      <c r="A98" s="2" t="s">
        <v>30</v>
      </c>
      <c r="B98" s="3" t="s">
        <v>151</v>
      </c>
      <c r="C98" s="3"/>
      <c r="D98" s="66">
        <v>0</v>
      </c>
    </row>
    <row r="99" spans="1:7" ht="14.25" customHeight="1">
      <c r="A99" s="2" t="s">
        <v>33</v>
      </c>
      <c r="B99" s="3" t="s">
        <v>152</v>
      </c>
      <c r="C99" s="3"/>
      <c r="D99" s="66">
        <v>0</v>
      </c>
    </row>
    <row r="100" spans="1:7" ht="14.25" customHeight="1">
      <c r="A100" s="2" t="s">
        <v>35</v>
      </c>
      <c r="B100" s="3" t="s">
        <v>220</v>
      </c>
      <c r="C100" s="3"/>
      <c r="D100" s="66">
        <v>0</v>
      </c>
    </row>
    <row r="101" spans="1:7" ht="14.25" customHeight="1">
      <c r="A101" s="2" t="s">
        <v>43</v>
      </c>
      <c r="B101" s="3"/>
      <c r="C101" s="3"/>
      <c r="D101" s="9">
        <f>TRUNC(SUM(D97:D100),2)</f>
        <v>16.87</v>
      </c>
    </row>
    <row r="102" spans="1:7" ht="14.25" customHeight="1">
      <c r="A102" s="14"/>
      <c r="D102" s="15"/>
    </row>
    <row r="103" spans="1:7" ht="14.25" customHeight="1">
      <c r="A103" s="129" t="s">
        <v>221</v>
      </c>
      <c r="B103" s="130"/>
      <c r="C103" s="52" t="s">
        <v>212</v>
      </c>
      <c r="D103" s="53">
        <f>D17</f>
        <v>1892.83</v>
      </c>
    </row>
    <row r="104" spans="1:7" ht="14.25" customHeight="1">
      <c r="A104" s="131"/>
      <c r="B104" s="132"/>
      <c r="C104" s="54" t="s">
        <v>216</v>
      </c>
      <c r="D104" s="53">
        <f>D56</f>
        <v>1600.83</v>
      </c>
    </row>
    <row r="105" spans="1:7" ht="14.25" customHeight="1">
      <c r="A105" s="131"/>
      <c r="B105" s="132"/>
      <c r="C105" s="52" t="s">
        <v>217</v>
      </c>
      <c r="D105" s="53">
        <f>D66</f>
        <v>116.89</v>
      </c>
    </row>
    <row r="106" spans="1:7" ht="14.25" customHeight="1">
      <c r="A106" s="131"/>
      <c r="B106" s="132"/>
      <c r="C106" s="54" t="s">
        <v>222</v>
      </c>
      <c r="D106" s="53">
        <f>D93</f>
        <v>70.52</v>
      </c>
    </row>
    <row r="107" spans="1:7" ht="14.25" customHeight="1">
      <c r="A107" s="131"/>
      <c r="B107" s="132"/>
      <c r="C107" s="52" t="s">
        <v>223</v>
      </c>
      <c r="D107" s="53">
        <f>D101</f>
        <v>16.87</v>
      </c>
    </row>
    <row r="108" spans="1:7" ht="14.25" customHeight="1">
      <c r="A108" s="133"/>
      <c r="B108" s="134"/>
      <c r="C108" s="54" t="s">
        <v>199</v>
      </c>
      <c r="D108" s="55">
        <f>TRUNC((SUM(D103:D107)),2)</f>
        <v>3697.94</v>
      </c>
    </row>
    <row r="109" spans="1:7" ht="14.25" customHeight="1">
      <c r="A109" s="14"/>
      <c r="D109" s="15"/>
    </row>
    <row r="110" spans="1:7" ht="14.25" customHeight="1">
      <c r="A110" s="115" t="s">
        <v>159</v>
      </c>
      <c r="B110" s="116"/>
      <c r="C110" s="116"/>
      <c r="D110" s="117"/>
      <c r="F110" s="135" t="s">
        <v>224</v>
      </c>
      <c r="G110" s="136"/>
    </row>
    <row r="111" spans="1:7" ht="14.25" customHeight="1">
      <c r="A111" s="2" t="s">
        <v>160</v>
      </c>
      <c r="B111" s="3" t="s">
        <v>161</v>
      </c>
      <c r="C111" s="2" t="s">
        <v>23</v>
      </c>
      <c r="D111" s="2" t="s">
        <v>5</v>
      </c>
      <c r="F111" s="67" t="s">
        <v>225</v>
      </c>
      <c r="G111" s="68">
        <f>C114</f>
        <v>8.6499999999999994E-2</v>
      </c>
    </row>
    <row r="112" spans="1:7" ht="14.25" customHeight="1">
      <c r="A112" s="2" t="s">
        <v>27</v>
      </c>
      <c r="B112" s="3" t="s">
        <v>162</v>
      </c>
      <c r="C112" s="56">
        <v>2.2499999999999999E-2</v>
      </c>
      <c r="D112" s="57">
        <f>TRUNC(($D$108*C112),2)</f>
        <v>83.2</v>
      </c>
      <c r="E112" s="58"/>
      <c r="F112" s="69" t="s">
        <v>226</v>
      </c>
      <c r="G112" s="70">
        <f>TRUNC(SUM(D108,D112,D113),2)</f>
        <v>3801.93</v>
      </c>
    </row>
    <row r="113" spans="1:7" ht="14.25" customHeight="1">
      <c r="A113" s="2" t="s">
        <v>30</v>
      </c>
      <c r="B113" s="3" t="s">
        <v>44</v>
      </c>
      <c r="C113" s="56">
        <v>5.4999999999999997E-3</v>
      </c>
      <c r="D113" s="57">
        <f>TRUNC((D108+D112)*C113,2)</f>
        <v>20.79</v>
      </c>
      <c r="E113" s="58"/>
      <c r="F113" s="67" t="s">
        <v>227</v>
      </c>
      <c r="G113" s="71">
        <f>(100-8.65)/100</f>
        <v>0.91349999999999998</v>
      </c>
    </row>
    <row r="114" spans="1:7" ht="14.25" customHeight="1">
      <c r="A114" s="2" t="s">
        <v>33</v>
      </c>
      <c r="B114" s="3" t="s">
        <v>163</v>
      </c>
      <c r="C114" s="56">
        <f t="shared" ref="C114:D114" si="4">SUM(C115:C117)</f>
        <v>8.6499999999999994E-2</v>
      </c>
      <c r="D114" s="57">
        <f t="shared" si="4"/>
        <v>359.99</v>
      </c>
      <c r="F114" s="69" t="s">
        <v>224</v>
      </c>
      <c r="G114" s="70">
        <f>TRUNC((G112/G113),2)</f>
        <v>4161.93</v>
      </c>
    </row>
    <row r="115" spans="1:7" ht="14.25" customHeight="1">
      <c r="A115" s="2" t="s">
        <v>164</v>
      </c>
      <c r="B115" s="3" t="s">
        <v>45</v>
      </c>
      <c r="C115" s="56">
        <v>6.4999999999999997E-3</v>
      </c>
      <c r="D115" s="57">
        <f t="shared" ref="D115:D117" si="5">TRUNC(($G$114*C115),2)</f>
        <v>27.05</v>
      </c>
    </row>
    <row r="116" spans="1:7" ht="14.25" customHeight="1">
      <c r="A116" s="2" t="s">
        <v>165</v>
      </c>
      <c r="B116" s="3" t="s">
        <v>47</v>
      </c>
      <c r="C116" s="56">
        <v>0.03</v>
      </c>
      <c r="D116" s="57">
        <f t="shared" si="5"/>
        <v>124.85</v>
      </c>
    </row>
    <row r="117" spans="1:7" ht="14.25" customHeight="1">
      <c r="A117" s="2" t="s">
        <v>166</v>
      </c>
      <c r="B117" s="3" t="s">
        <v>49</v>
      </c>
      <c r="C117" s="56">
        <v>0.05</v>
      </c>
      <c r="D117" s="57">
        <f t="shared" si="5"/>
        <v>208.09</v>
      </c>
    </row>
    <row r="118" spans="1:7" ht="14.25" customHeight="1">
      <c r="A118" s="2" t="s">
        <v>43</v>
      </c>
      <c r="B118" s="3"/>
      <c r="C118" s="2"/>
      <c r="D118" s="9">
        <f>TRUNC(SUM(D112:D114),2)</f>
        <v>463.98</v>
      </c>
    </row>
    <row r="119" spans="1:7" ht="14.25" customHeight="1">
      <c r="A119" s="14"/>
      <c r="C119" s="14"/>
      <c r="D119" s="15"/>
    </row>
    <row r="120" spans="1:7" ht="14.25" customHeight="1">
      <c r="A120" s="115" t="s">
        <v>167</v>
      </c>
      <c r="B120" s="116"/>
      <c r="C120" s="116"/>
      <c r="D120" s="117"/>
    </row>
    <row r="121" spans="1:7" ht="14.25" customHeight="1">
      <c r="A121" s="2" t="s">
        <v>2</v>
      </c>
      <c r="B121" s="2" t="s">
        <v>168</v>
      </c>
      <c r="C121" s="2" t="s">
        <v>94</v>
      </c>
      <c r="D121" s="2" t="s">
        <v>5</v>
      </c>
    </row>
    <row r="122" spans="1:7" ht="14.25" customHeight="1">
      <c r="A122" s="2" t="s">
        <v>27</v>
      </c>
      <c r="B122" s="3" t="s">
        <v>21</v>
      </c>
      <c r="C122" s="3"/>
      <c r="D122" s="9">
        <f>D17</f>
        <v>1892.83</v>
      </c>
    </row>
    <row r="123" spans="1:7" ht="14.25" customHeight="1">
      <c r="A123" s="2" t="s">
        <v>30</v>
      </c>
      <c r="B123" s="3" t="s">
        <v>46</v>
      </c>
      <c r="C123" s="3"/>
      <c r="D123" s="9">
        <f>D56</f>
        <v>1600.83</v>
      </c>
    </row>
    <row r="124" spans="1:7" ht="14.25" customHeight="1">
      <c r="A124" s="2" t="s">
        <v>33</v>
      </c>
      <c r="B124" s="3" t="s">
        <v>100</v>
      </c>
      <c r="C124" s="3"/>
      <c r="D124" s="9">
        <f>D66</f>
        <v>116.89</v>
      </c>
    </row>
    <row r="125" spans="1:7" ht="14.25" customHeight="1">
      <c r="A125" s="2" t="s">
        <v>35</v>
      </c>
      <c r="B125" s="3" t="s">
        <v>169</v>
      </c>
      <c r="C125" s="3"/>
      <c r="D125" s="9">
        <f>D93</f>
        <v>70.52</v>
      </c>
    </row>
    <row r="126" spans="1:7" ht="14.25" customHeight="1">
      <c r="A126" s="2" t="s">
        <v>38</v>
      </c>
      <c r="B126" s="3" t="s">
        <v>147</v>
      </c>
      <c r="C126" s="3"/>
      <c r="D126" s="9">
        <f>D101</f>
        <v>16.87</v>
      </c>
    </row>
    <row r="127" spans="1:7" ht="14.25" customHeight="1">
      <c r="A127" s="3" t="s">
        <v>170</v>
      </c>
      <c r="B127" s="3"/>
      <c r="C127" s="3"/>
      <c r="D127" s="9">
        <f>TRUNC(SUM(D122:D126),2)</f>
        <v>3697.94</v>
      </c>
    </row>
    <row r="128" spans="1:7" ht="14.25" customHeight="1">
      <c r="A128" s="2" t="s">
        <v>40</v>
      </c>
      <c r="B128" s="3" t="s">
        <v>159</v>
      </c>
      <c r="C128" s="3"/>
      <c r="D128" s="9">
        <f>D118</f>
        <v>463.98</v>
      </c>
    </row>
    <row r="129" spans="1:4" ht="14.25" customHeight="1">
      <c r="A129" s="72" t="s">
        <v>171</v>
      </c>
      <c r="B129" s="27"/>
      <c r="C129" s="27"/>
      <c r="D129" s="73">
        <f>TRUNC((SUM(D122:D126)+D128),2)</f>
        <v>4161.92</v>
      </c>
    </row>
    <row r="130" spans="1:4" ht="14.25" customHeight="1"/>
    <row r="131" spans="1:4" ht="14.25" customHeight="1"/>
    <row r="132" spans="1:4" ht="14.25" customHeight="1"/>
    <row r="133" spans="1:4" ht="14.25" customHeight="1"/>
    <row r="134" spans="1:4" ht="14.25" customHeight="1"/>
    <row r="135" spans="1:4" ht="14.25" customHeight="1"/>
    <row r="136" spans="1:4" ht="14.25" customHeight="1"/>
    <row r="137" spans="1:4" ht="14.25" customHeight="1"/>
    <row r="138" spans="1:4" ht="14.25" customHeight="1"/>
    <row r="139" spans="1:4" ht="14.25" customHeight="1"/>
    <row r="140" spans="1:4" ht="14.25" customHeight="1"/>
    <row r="141" spans="1:4" ht="14.25" customHeight="1"/>
    <row r="142" spans="1:4" ht="14.25" customHeight="1"/>
    <row r="143" spans="1:4" ht="14.25" customHeight="1"/>
    <row r="144" spans="1: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">
    <mergeCell ref="A110:D110"/>
    <mergeCell ref="F110:G110"/>
    <mergeCell ref="A120:D120"/>
    <mergeCell ref="A42:D42"/>
    <mergeCell ref="A51:D51"/>
    <mergeCell ref="A58:D58"/>
    <mergeCell ref="A68:B71"/>
    <mergeCell ref="A73:D73"/>
    <mergeCell ref="A74:D74"/>
    <mergeCell ref="A84:D84"/>
    <mergeCell ref="A26:B28"/>
    <mergeCell ref="A30:D30"/>
    <mergeCell ref="A89:D89"/>
    <mergeCell ref="A95:D95"/>
    <mergeCell ref="A103:B108"/>
    <mergeCell ref="A1:D1"/>
    <mergeCell ref="F1:G1"/>
    <mergeCell ref="A9:D9"/>
    <mergeCell ref="A19:D19"/>
    <mergeCell ref="A20:D20"/>
  </mergeCells>
  <pageMargins left="0.511811024" right="0.511811024" top="0.78740157499999996" bottom="0.78740157499999996" header="0" footer="0"/>
  <pageSetup orientation="landscape"/>
  <legacyDrawing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12.xml><?xml version="1.0" encoding="utf-8"?>
<worksheet xmlns="http://schemas.openxmlformats.org/spreadsheetml/2006/main" xmlns:r="http://schemas.openxmlformats.org/officeDocument/2006/relationships">
  <dimension ref="A1:G1000"/>
  <sheetViews>
    <sheetView workbookViewId="0">
      <selection activeCell="F126" sqref="F126"/>
    </sheetView>
  </sheetViews>
  <sheetFormatPr defaultColWidth="12.6640625" defaultRowHeight="15" customHeight="1"/>
  <cols>
    <col min="1" max="1" width="11.5" customWidth="1"/>
    <col min="2" max="2" width="49.1640625" customWidth="1"/>
    <col min="3" max="3" width="24.25" customWidth="1"/>
    <col min="4" max="4" width="18.1640625" customWidth="1"/>
    <col min="5" max="5" width="8" customWidth="1"/>
    <col min="6" max="6" width="25.6640625" customWidth="1"/>
    <col min="7" max="7" width="10" customWidth="1"/>
    <col min="8" max="26" width="8" customWidth="1"/>
  </cols>
  <sheetData>
    <row r="1" spans="1:7" ht="14.25" customHeight="1">
      <c r="A1" s="110" t="s">
        <v>0</v>
      </c>
      <c r="B1" s="111"/>
      <c r="C1" s="111"/>
      <c r="D1" s="112"/>
      <c r="F1" s="113" t="s">
        <v>1</v>
      </c>
      <c r="G1" s="114"/>
    </row>
    <row r="2" spans="1:7" ht="14.25" customHeight="1">
      <c r="A2" s="2" t="s">
        <v>2</v>
      </c>
      <c r="B2" s="3" t="s">
        <v>3</v>
      </c>
      <c r="C2" s="2" t="s">
        <v>4</v>
      </c>
      <c r="D2" s="2" t="s">
        <v>5</v>
      </c>
      <c r="E2" s="138"/>
      <c r="F2" s="18" t="s">
        <v>3</v>
      </c>
      <c r="G2" s="18" t="s">
        <v>5</v>
      </c>
    </row>
    <row r="3" spans="1:7" ht="14.25" customHeight="1">
      <c r="A3" s="2">
        <v>1</v>
      </c>
      <c r="B3" s="3" t="s">
        <v>6</v>
      </c>
      <c r="C3" s="74" t="s">
        <v>233</v>
      </c>
      <c r="D3" s="2" t="s">
        <v>206</v>
      </c>
      <c r="E3" s="138"/>
      <c r="F3" s="3" t="s">
        <v>8</v>
      </c>
      <c r="G3" s="45">
        <v>4.1500000000000004</v>
      </c>
    </row>
    <row r="4" spans="1:7" ht="14.25" customHeight="1">
      <c r="A4" s="2">
        <v>2</v>
      </c>
      <c r="B4" s="3" t="s">
        <v>9</v>
      </c>
      <c r="C4" s="2"/>
      <c r="D4" s="2" t="s">
        <v>198</v>
      </c>
      <c r="E4" s="138"/>
      <c r="F4" s="3" t="s">
        <v>11</v>
      </c>
      <c r="G4" s="45">
        <v>0</v>
      </c>
    </row>
    <row r="5" spans="1:7" ht="14.25" customHeight="1">
      <c r="A5" s="2">
        <v>3</v>
      </c>
      <c r="B5" s="3" t="s">
        <v>12</v>
      </c>
      <c r="C5" s="2" t="s">
        <v>234</v>
      </c>
      <c r="D5" s="46">
        <v>1370.97</v>
      </c>
      <c r="E5" s="138"/>
      <c r="F5" s="3" t="s">
        <v>14</v>
      </c>
      <c r="G5" s="47">
        <v>22</v>
      </c>
    </row>
    <row r="6" spans="1:7" ht="14.25" customHeight="1">
      <c r="A6" s="2">
        <v>4</v>
      </c>
      <c r="B6" s="3" t="s">
        <v>15</v>
      </c>
      <c r="C6" s="2"/>
      <c r="D6" s="2"/>
      <c r="E6" s="138"/>
      <c r="F6" s="3" t="s">
        <v>17</v>
      </c>
      <c r="G6" s="48">
        <v>0.06</v>
      </c>
    </row>
    <row r="7" spans="1:7" ht="14.25" customHeight="1">
      <c r="A7" s="2">
        <v>5</v>
      </c>
      <c r="B7" s="3" t="s">
        <v>18</v>
      </c>
      <c r="C7" s="2"/>
      <c r="D7" s="2" t="s">
        <v>19</v>
      </c>
      <c r="E7" s="138"/>
      <c r="F7" s="3" t="s">
        <v>209</v>
      </c>
      <c r="G7" s="49">
        <v>1</v>
      </c>
    </row>
    <row r="8" spans="1:7" ht="14.25" customHeight="1">
      <c r="E8" s="138"/>
      <c r="F8" s="1"/>
      <c r="G8" s="50"/>
    </row>
    <row r="9" spans="1:7" ht="14.25" customHeight="1">
      <c r="A9" s="115" t="s">
        <v>21</v>
      </c>
      <c r="B9" s="116"/>
      <c r="C9" s="116"/>
      <c r="D9" s="117"/>
      <c r="E9" s="138"/>
      <c r="F9" s="1"/>
      <c r="G9" s="50"/>
    </row>
    <row r="10" spans="1:7" ht="14.25" customHeight="1">
      <c r="A10" s="2" t="s">
        <v>24</v>
      </c>
      <c r="B10" s="3" t="s">
        <v>25</v>
      </c>
      <c r="C10" s="2" t="s">
        <v>4</v>
      </c>
      <c r="D10" s="2" t="s">
        <v>5</v>
      </c>
      <c r="E10" s="138"/>
      <c r="F10" s="1"/>
      <c r="G10" s="50"/>
    </row>
    <row r="11" spans="1:7" ht="14.25" customHeight="1">
      <c r="A11" s="2" t="s">
        <v>27</v>
      </c>
      <c r="B11" s="3" t="s">
        <v>28</v>
      </c>
      <c r="C11" s="2"/>
      <c r="D11" s="9">
        <f>D5</f>
        <v>1370.97</v>
      </c>
      <c r="E11" s="138"/>
      <c r="F11" s="1"/>
      <c r="G11" s="50"/>
    </row>
    <row r="12" spans="1:7" ht="14.25" customHeight="1">
      <c r="A12" s="2" t="s">
        <v>30</v>
      </c>
      <c r="B12" s="3" t="s">
        <v>31</v>
      </c>
      <c r="C12" s="75"/>
      <c r="D12" s="9"/>
      <c r="E12" s="138"/>
      <c r="F12" s="1"/>
      <c r="G12" s="50"/>
    </row>
    <row r="13" spans="1:7" ht="14.25" customHeight="1">
      <c r="A13" s="2" t="s">
        <v>33</v>
      </c>
      <c r="B13" s="3" t="s">
        <v>34</v>
      </c>
      <c r="C13" s="75">
        <v>0.4</v>
      </c>
      <c r="D13" s="9">
        <f>1100*40%</f>
        <v>440</v>
      </c>
      <c r="E13" s="138"/>
      <c r="F13" s="1"/>
      <c r="G13" s="50"/>
    </row>
    <row r="14" spans="1:7" ht="14.25" customHeight="1">
      <c r="A14" s="2" t="s">
        <v>35</v>
      </c>
      <c r="B14" s="3" t="s">
        <v>36</v>
      </c>
      <c r="C14" s="2"/>
      <c r="D14" s="9"/>
      <c r="E14" s="138"/>
      <c r="F14" s="1"/>
      <c r="G14" s="50"/>
    </row>
    <row r="15" spans="1:7" ht="14.25" customHeight="1">
      <c r="A15" s="2" t="s">
        <v>38</v>
      </c>
      <c r="B15" s="3" t="s">
        <v>39</v>
      </c>
      <c r="C15" s="2"/>
      <c r="D15" s="9"/>
      <c r="E15" s="138"/>
      <c r="F15" s="1"/>
      <c r="G15" s="50"/>
    </row>
    <row r="16" spans="1:7" ht="14.25" customHeight="1">
      <c r="A16" s="2" t="s">
        <v>40</v>
      </c>
      <c r="B16" s="3" t="s">
        <v>210</v>
      </c>
      <c r="C16" s="6"/>
      <c r="D16" s="9"/>
      <c r="E16" s="138"/>
      <c r="F16" s="1"/>
      <c r="G16" s="50"/>
    </row>
    <row r="17" spans="1:7" ht="14.25" customHeight="1">
      <c r="A17" s="2" t="s">
        <v>43</v>
      </c>
      <c r="B17" s="3"/>
      <c r="C17" s="2"/>
      <c r="D17" s="9">
        <f>TRUNC(SUM(D11:D16),2)</f>
        <v>1810.97</v>
      </c>
      <c r="E17" s="138"/>
      <c r="F17" s="1"/>
      <c r="G17" s="50"/>
    </row>
    <row r="18" spans="1:7" ht="14.25" customHeight="1">
      <c r="E18" s="138"/>
      <c r="F18" s="1"/>
      <c r="G18" s="50"/>
    </row>
    <row r="19" spans="1:7" ht="14.25" customHeight="1">
      <c r="A19" s="118" t="s">
        <v>46</v>
      </c>
      <c r="B19" s="119"/>
      <c r="C19" s="119"/>
      <c r="D19" s="120"/>
      <c r="E19" s="138"/>
      <c r="F19" s="1"/>
      <c r="G19" s="50"/>
    </row>
    <row r="20" spans="1:7" ht="14.25" customHeight="1">
      <c r="A20" s="113" t="s">
        <v>48</v>
      </c>
      <c r="B20" s="114"/>
      <c r="C20" s="114"/>
      <c r="D20" s="114"/>
      <c r="E20" s="138"/>
      <c r="F20" s="1"/>
      <c r="G20" s="50"/>
    </row>
    <row r="21" spans="1:7" ht="14.25" customHeight="1">
      <c r="A21" s="2" t="s">
        <v>50</v>
      </c>
      <c r="B21" s="3" t="s">
        <v>51</v>
      </c>
      <c r="C21" s="2" t="s">
        <v>4</v>
      </c>
      <c r="D21" s="2" t="s">
        <v>5</v>
      </c>
      <c r="E21" s="138"/>
      <c r="F21" s="1"/>
      <c r="G21" s="50"/>
    </row>
    <row r="22" spans="1:7" ht="14.25" customHeight="1">
      <c r="A22" s="2" t="s">
        <v>27</v>
      </c>
      <c r="B22" s="3" t="s">
        <v>52</v>
      </c>
      <c r="C22" s="51">
        <f>(1/12)</f>
        <v>8.3333333333333329E-2</v>
      </c>
      <c r="D22" s="9">
        <f t="shared" ref="D22:D23" si="0">TRUNC($D$17*C22,2)</f>
        <v>150.91</v>
      </c>
      <c r="E22" s="138"/>
      <c r="F22" s="1"/>
      <c r="G22" s="50"/>
    </row>
    <row r="23" spans="1:7" ht="14.25" customHeight="1">
      <c r="A23" s="2" t="s">
        <v>30</v>
      </c>
      <c r="B23" s="3" t="s">
        <v>54</v>
      </c>
      <c r="C23" s="51">
        <f>(((1+1/3)/12))</f>
        <v>0.1111111111111111</v>
      </c>
      <c r="D23" s="9">
        <f t="shared" si="0"/>
        <v>201.21</v>
      </c>
      <c r="E23" s="139"/>
      <c r="F23" s="1"/>
      <c r="G23" s="50"/>
    </row>
    <row r="24" spans="1:7" ht="14.25" customHeight="1">
      <c r="A24" s="2" t="s">
        <v>43</v>
      </c>
      <c r="B24" s="3"/>
      <c r="C24" s="3"/>
      <c r="D24" s="9">
        <f>TRUNC(SUM(D22:D23),2)</f>
        <v>352.12</v>
      </c>
      <c r="E24" s="138"/>
      <c r="F24" s="1"/>
      <c r="G24" s="50"/>
    </row>
    <row r="25" spans="1:7" ht="14.25" customHeight="1">
      <c r="A25" s="14"/>
      <c r="D25" s="15"/>
      <c r="E25" s="138"/>
      <c r="F25" s="1"/>
      <c r="G25" s="50"/>
    </row>
    <row r="26" spans="1:7" ht="14.25" customHeight="1">
      <c r="A26" s="129" t="s">
        <v>211</v>
      </c>
      <c r="B26" s="130"/>
      <c r="C26" s="52" t="s">
        <v>212</v>
      </c>
      <c r="D26" s="53">
        <f>D17</f>
        <v>1810.97</v>
      </c>
      <c r="E26" s="138"/>
      <c r="F26" s="1"/>
      <c r="G26" s="1"/>
    </row>
    <row r="27" spans="1:7" ht="14.25" customHeight="1">
      <c r="A27" s="131"/>
      <c r="B27" s="132"/>
      <c r="C27" s="54" t="s">
        <v>213</v>
      </c>
      <c r="D27" s="53">
        <f>D24</f>
        <v>352.12</v>
      </c>
      <c r="E27" s="138"/>
      <c r="F27" s="1"/>
      <c r="G27" s="1"/>
    </row>
    <row r="28" spans="1:7" ht="14.25" customHeight="1">
      <c r="A28" s="133"/>
      <c r="B28" s="134"/>
      <c r="C28" s="52" t="s">
        <v>199</v>
      </c>
      <c r="D28" s="55">
        <f>TRUNC(SUM(D26:D27),2)</f>
        <v>2163.09</v>
      </c>
      <c r="E28" s="138"/>
      <c r="F28" s="1"/>
      <c r="G28" s="1"/>
    </row>
    <row r="29" spans="1:7" ht="14.25" customHeight="1">
      <c r="A29" s="14"/>
      <c r="B29" s="14"/>
      <c r="C29" s="22"/>
      <c r="E29" s="138"/>
      <c r="F29" s="1"/>
      <c r="G29" s="1"/>
    </row>
    <row r="30" spans="1:7" ht="14.25" customHeight="1">
      <c r="A30" s="113" t="s">
        <v>65</v>
      </c>
      <c r="B30" s="114"/>
      <c r="C30" s="114"/>
      <c r="D30" s="114"/>
      <c r="E30" s="138"/>
    </row>
    <row r="31" spans="1:7" ht="14.25" customHeight="1">
      <c r="A31" s="2" t="s">
        <v>66</v>
      </c>
      <c r="B31" s="3" t="s">
        <v>67</v>
      </c>
      <c r="C31" s="2" t="s">
        <v>23</v>
      </c>
      <c r="D31" s="2" t="s">
        <v>68</v>
      </c>
      <c r="E31" s="138"/>
    </row>
    <row r="32" spans="1:7" ht="14.25" customHeight="1">
      <c r="A32" s="2" t="s">
        <v>27</v>
      </c>
      <c r="B32" s="3" t="s">
        <v>69</v>
      </c>
      <c r="C32" s="23">
        <v>0.2</v>
      </c>
      <c r="D32" s="9">
        <f t="shared" ref="D32:D39" si="1">TRUNC(($D$28*C32),2)</f>
        <v>432.61</v>
      </c>
      <c r="E32" s="138"/>
    </row>
    <row r="33" spans="1:6" ht="14.25" customHeight="1">
      <c r="A33" s="2" t="s">
        <v>30</v>
      </c>
      <c r="B33" s="3" t="s">
        <v>70</v>
      </c>
      <c r="C33" s="23">
        <v>2.5000000000000001E-2</v>
      </c>
      <c r="D33" s="9">
        <f t="shared" si="1"/>
        <v>54.07</v>
      </c>
      <c r="E33" s="138"/>
    </row>
    <row r="34" spans="1:6" ht="14.25" customHeight="1">
      <c r="A34" s="2" t="s">
        <v>33</v>
      </c>
      <c r="B34" s="3" t="s">
        <v>71</v>
      </c>
      <c r="C34" s="56">
        <v>0.06</v>
      </c>
      <c r="D34" s="57">
        <f t="shared" si="1"/>
        <v>129.78</v>
      </c>
      <c r="E34" s="140"/>
    </row>
    <row r="35" spans="1:6" ht="14.25" customHeight="1">
      <c r="A35" s="2" t="s">
        <v>35</v>
      </c>
      <c r="B35" s="3" t="s">
        <v>72</v>
      </c>
      <c r="C35" s="23">
        <v>1.4999999999999999E-2</v>
      </c>
      <c r="D35" s="9">
        <f t="shared" si="1"/>
        <v>32.44</v>
      </c>
      <c r="E35" s="138"/>
    </row>
    <row r="36" spans="1:6" ht="14.25" customHeight="1">
      <c r="A36" s="2" t="s">
        <v>38</v>
      </c>
      <c r="B36" s="3" t="s">
        <v>73</v>
      </c>
      <c r="C36" s="23">
        <v>0.01</v>
      </c>
      <c r="D36" s="9">
        <f t="shared" si="1"/>
        <v>21.63</v>
      </c>
      <c r="E36" s="138"/>
    </row>
    <row r="37" spans="1:6" ht="14.25" customHeight="1">
      <c r="A37" s="2" t="s">
        <v>40</v>
      </c>
      <c r="B37" s="3" t="s">
        <v>74</v>
      </c>
      <c r="C37" s="23">
        <v>6.0000000000000001E-3</v>
      </c>
      <c r="D37" s="9">
        <f t="shared" si="1"/>
        <v>12.97</v>
      </c>
      <c r="E37" s="138"/>
    </row>
    <row r="38" spans="1:6" ht="14.25" customHeight="1">
      <c r="A38" s="2" t="s">
        <v>75</v>
      </c>
      <c r="B38" s="3" t="s">
        <v>76</v>
      </c>
      <c r="C38" s="23">
        <v>2E-3</v>
      </c>
      <c r="D38" s="9">
        <f t="shared" si="1"/>
        <v>4.32</v>
      </c>
      <c r="E38" s="138"/>
    </row>
    <row r="39" spans="1:6" ht="14.25" customHeight="1">
      <c r="A39" s="2" t="s">
        <v>77</v>
      </c>
      <c r="B39" s="3" t="s">
        <v>78</v>
      </c>
      <c r="C39" s="23">
        <v>0.08</v>
      </c>
      <c r="D39" s="9">
        <f t="shared" si="1"/>
        <v>173.04</v>
      </c>
      <c r="E39" s="138"/>
    </row>
    <row r="40" spans="1:6" ht="14.25" customHeight="1">
      <c r="A40" s="2" t="s">
        <v>43</v>
      </c>
      <c r="B40" s="3"/>
      <c r="C40" s="23">
        <f>SUBTOTAL(109,THB!$C$32:$C$39)</f>
        <v>0.39800000000000008</v>
      </c>
      <c r="D40" s="9">
        <f>TRUNC(SUM(D32:D39),2)</f>
        <v>860.86</v>
      </c>
      <c r="E40" s="138"/>
    </row>
    <row r="41" spans="1:6" ht="14.25" customHeight="1">
      <c r="A41" s="14"/>
      <c r="C41" s="24"/>
      <c r="D41" s="15"/>
      <c r="E41" s="138"/>
    </row>
    <row r="42" spans="1:6" ht="14.25" customHeight="1">
      <c r="A42" s="113" t="s">
        <v>83</v>
      </c>
      <c r="B42" s="114"/>
      <c r="C42" s="114"/>
      <c r="D42" s="114"/>
      <c r="E42" s="138"/>
    </row>
    <row r="43" spans="1:6" ht="14.25" customHeight="1">
      <c r="A43" s="2" t="s">
        <v>84</v>
      </c>
      <c r="B43" s="3" t="s">
        <v>85</v>
      </c>
      <c r="C43" s="2" t="s">
        <v>4</v>
      </c>
      <c r="D43" s="2" t="s">
        <v>5</v>
      </c>
      <c r="E43" s="138"/>
    </row>
    <row r="44" spans="1:6" ht="14.25" customHeight="1">
      <c r="A44" s="2" t="s">
        <v>27</v>
      </c>
      <c r="B44" s="3" t="s">
        <v>86</v>
      </c>
      <c r="C44" s="3"/>
      <c r="D44" s="57">
        <f>TRUNC(((G5*G3)*2)-((D5/100)*6),2)</f>
        <v>100.34</v>
      </c>
      <c r="E44" s="138"/>
    </row>
    <row r="45" spans="1:6" ht="14.25" customHeight="1">
      <c r="A45" s="2" t="s">
        <v>30</v>
      </c>
      <c r="B45" s="3" t="s">
        <v>87</v>
      </c>
      <c r="C45" s="3"/>
      <c r="D45" s="57">
        <f>TRUNC((((G5*G4))-(((G5*G4))*0.2)),2)</f>
        <v>0</v>
      </c>
      <c r="E45" s="138"/>
    </row>
    <row r="46" spans="1:6" ht="14.25" customHeight="1">
      <c r="A46" s="2" t="s">
        <v>33</v>
      </c>
      <c r="B46" s="3" t="s">
        <v>88</v>
      </c>
      <c r="C46" s="6"/>
      <c r="D46" s="57"/>
      <c r="E46" s="140"/>
      <c r="F46" s="36"/>
    </row>
    <row r="47" spans="1:6" ht="14.25" customHeight="1">
      <c r="A47" s="2" t="s">
        <v>35</v>
      </c>
      <c r="B47" s="3" t="s">
        <v>89</v>
      </c>
      <c r="C47" s="6"/>
      <c r="D47" s="57"/>
      <c r="E47" s="138"/>
    </row>
    <row r="48" spans="1:6" ht="14.25" customHeight="1">
      <c r="A48" s="2" t="s">
        <v>38</v>
      </c>
      <c r="B48" s="3" t="s">
        <v>91</v>
      </c>
      <c r="C48" s="6"/>
      <c r="D48" s="57"/>
      <c r="E48" s="138"/>
    </row>
    <row r="49" spans="1:5" ht="14.25" customHeight="1">
      <c r="A49" s="2" t="s">
        <v>43</v>
      </c>
      <c r="B49" s="3"/>
      <c r="C49" s="3"/>
      <c r="D49" s="9">
        <f>TRUNC(SUM(D44:D48),2)</f>
        <v>100.34</v>
      </c>
      <c r="E49" s="138"/>
    </row>
    <row r="50" spans="1:5" ht="14.25" customHeight="1">
      <c r="A50" s="14"/>
      <c r="D50" s="15"/>
      <c r="E50" s="138"/>
    </row>
    <row r="51" spans="1:5" ht="14.25" customHeight="1">
      <c r="A51" s="113" t="s">
        <v>97</v>
      </c>
      <c r="B51" s="114"/>
      <c r="C51" s="114"/>
      <c r="D51" s="114"/>
      <c r="E51" s="138"/>
    </row>
    <row r="52" spans="1:5" ht="14.25" customHeight="1">
      <c r="A52" s="2" t="s">
        <v>98</v>
      </c>
      <c r="B52" s="3" t="s">
        <v>99</v>
      </c>
      <c r="C52" s="2" t="s">
        <v>4</v>
      </c>
      <c r="D52" s="2" t="s">
        <v>5</v>
      </c>
      <c r="E52" s="138"/>
    </row>
    <row r="53" spans="1:5" ht="14.25" customHeight="1">
      <c r="A53" s="2" t="s">
        <v>50</v>
      </c>
      <c r="B53" s="3" t="s">
        <v>51</v>
      </c>
      <c r="C53" s="2"/>
      <c r="D53" s="9">
        <f>D24</f>
        <v>352.12</v>
      </c>
      <c r="E53" s="138"/>
    </row>
    <row r="54" spans="1:5" ht="14.25" customHeight="1">
      <c r="A54" s="2" t="s">
        <v>66</v>
      </c>
      <c r="B54" s="3" t="s">
        <v>67</v>
      </c>
      <c r="C54" s="2"/>
      <c r="D54" s="9">
        <f>D40</f>
        <v>860.86</v>
      </c>
      <c r="E54" s="138"/>
    </row>
    <row r="55" spans="1:5" ht="14.25" customHeight="1">
      <c r="A55" s="2" t="s">
        <v>84</v>
      </c>
      <c r="B55" s="3" t="s">
        <v>85</v>
      </c>
      <c r="C55" s="2"/>
      <c r="D55" s="9">
        <f>D49</f>
        <v>100.34</v>
      </c>
      <c r="E55" s="138"/>
    </row>
    <row r="56" spans="1:5" ht="14.25" customHeight="1">
      <c r="A56" s="2" t="s">
        <v>43</v>
      </c>
      <c r="B56" s="3"/>
      <c r="C56" s="2"/>
      <c r="D56" s="9">
        <f>TRUNC(SUM(D53:D55),2)</f>
        <v>1313.32</v>
      </c>
      <c r="E56" s="138"/>
    </row>
    <row r="57" spans="1:5" ht="14.25" customHeight="1">
      <c r="E57" s="138"/>
    </row>
    <row r="58" spans="1:5" ht="14.25" customHeight="1">
      <c r="A58" s="115" t="s">
        <v>100</v>
      </c>
      <c r="B58" s="116"/>
      <c r="C58" s="116"/>
      <c r="D58" s="117"/>
      <c r="E58" s="138"/>
    </row>
    <row r="59" spans="1:5" ht="14.25" customHeight="1">
      <c r="A59" s="2" t="s">
        <v>101</v>
      </c>
      <c r="B59" s="3" t="s">
        <v>102</v>
      </c>
      <c r="C59" s="2" t="s">
        <v>4</v>
      </c>
      <c r="D59" s="2" t="s">
        <v>5</v>
      </c>
      <c r="E59" s="138"/>
    </row>
    <row r="60" spans="1:5" ht="14.25" customHeight="1">
      <c r="A60" s="2" t="s">
        <v>27</v>
      </c>
      <c r="B60" s="59" t="s">
        <v>103</v>
      </c>
      <c r="C60" s="60">
        <f>((1/12)*5%)</f>
        <v>4.1666666666666666E-3</v>
      </c>
      <c r="D60" s="61">
        <f>TRUNC(($D$17*C60),2)</f>
        <v>7.54</v>
      </c>
      <c r="E60" s="140"/>
    </row>
    <row r="61" spans="1:5" ht="14.25" customHeight="1">
      <c r="A61" s="2" t="s">
        <v>30</v>
      </c>
      <c r="B61" s="59" t="s">
        <v>104</v>
      </c>
      <c r="C61" s="51">
        <v>0.08</v>
      </c>
      <c r="D61" s="62">
        <f>TRUNC(D60*C61,2)</f>
        <v>0.6</v>
      </c>
      <c r="E61" s="138"/>
    </row>
    <row r="62" spans="1:5" ht="14.25" customHeight="1">
      <c r="A62" s="2" t="s">
        <v>33</v>
      </c>
      <c r="B62" s="59" t="s">
        <v>105</v>
      </c>
      <c r="C62" s="60">
        <f>(0.08*0.4*0.05)</f>
        <v>1.6000000000000001E-3</v>
      </c>
      <c r="D62" s="61">
        <f t="shared" ref="D62:D63" si="2">TRUNC(($D$17*C62),2)</f>
        <v>2.89</v>
      </c>
      <c r="E62" s="140"/>
    </row>
    <row r="63" spans="1:5" ht="14.25" customHeight="1">
      <c r="A63" s="2" t="s">
        <v>35</v>
      </c>
      <c r="B63" s="59" t="s">
        <v>106</v>
      </c>
      <c r="C63" s="51">
        <f>(((7/30)/12)*0.95)</f>
        <v>1.8472222222222223E-2</v>
      </c>
      <c r="D63" s="62">
        <f t="shared" si="2"/>
        <v>33.450000000000003</v>
      </c>
      <c r="E63" s="138"/>
    </row>
    <row r="64" spans="1:5" ht="14.25" customHeight="1">
      <c r="A64" s="2" t="s">
        <v>38</v>
      </c>
      <c r="B64" s="59" t="s">
        <v>214</v>
      </c>
      <c r="C64" s="51">
        <f>C40</f>
        <v>0.39800000000000008</v>
      </c>
      <c r="D64" s="62">
        <f>TRUNC(D63*C64,2)</f>
        <v>13.31</v>
      </c>
      <c r="E64" s="138"/>
    </row>
    <row r="65" spans="1:5" ht="14.25" customHeight="1">
      <c r="A65" s="2" t="s">
        <v>40</v>
      </c>
      <c r="B65" s="59" t="s">
        <v>107</v>
      </c>
      <c r="C65" s="60">
        <f>(0.08*0.4*0.95)</f>
        <v>3.04E-2</v>
      </c>
      <c r="D65" s="61">
        <f>TRUNC(($D$17*C65),2)</f>
        <v>55.05</v>
      </c>
      <c r="E65" s="140"/>
    </row>
    <row r="66" spans="1:5" ht="14.25" customHeight="1">
      <c r="A66" s="2" t="s">
        <v>43</v>
      </c>
      <c r="B66" s="3"/>
      <c r="C66" s="3"/>
      <c r="D66" s="9">
        <f>TRUNC(SUM(D60:D65),2)</f>
        <v>112.84</v>
      </c>
      <c r="E66" s="138"/>
    </row>
    <row r="67" spans="1:5" ht="14.25" customHeight="1">
      <c r="A67" s="14"/>
      <c r="D67" s="15"/>
      <c r="E67" s="138"/>
    </row>
    <row r="68" spans="1:5" ht="14.25" customHeight="1">
      <c r="A68" s="129" t="s">
        <v>215</v>
      </c>
      <c r="B68" s="130"/>
      <c r="C68" s="52" t="s">
        <v>212</v>
      </c>
      <c r="D68" s="53">
        <f>D17</f>
        <v>1810.97</v>
      </c>
      <c r="E68" s="138"/>
    </row>
    <row r="69" spans="1:5" ht="14.25" customHeight="1">
      <c r="A69" s="131"/>
      <c r="B69" s="132"/>
      <c r="C69" s="54" t="s">
        <v>216</v>
      </c>
      <c r="D69" s="53">
        <f>D56</f>
        <v>1313.32</v>
      </c>
      <c r="E69" s="138"/>
    </row>
    <row r="70" spans="1:5" ht="14.25" customHeight="1">
      <c r="A70" s="131"/>
      <c r="B70" s="132"/>
      <c r="C70" s="52" t="s">
        <v>217</v>
      </c>
      <c r="D70" s="53">
        <f>D66</f>
        <v>112.84</v>
      </c>
      <c r="E70" s="138"/>
    </row>
    <row r="71" spans="1:5" ht="14.25" customHeight="1">
      <c r="A71" s="133"/>
      <c r="B71" s="134"/>
      <c r="C71" s="54" t="s">
        <v>199</v>
      </c>
      <c r="D71" s="55">
        <f>TRUNC((SUM(D68:D70)),2)</f>
        <v>3237.13</v>
      </c>
      <c r="E71" s="138"/>
    </row>
    <row r="72" spans="1:5" ht="14.25" customHeight="1">
      <c r="A72" s="14"/>
      <c r="D72" s="15"/>
      <c r="E72" s="138"/>
    </row>
    <row r="73" spans="1:5" ht="14.25" customHeight="1">
      <c r="A73" s="122" t="s">
        <v>119</v>
      </c>
      <c r="B73" s="119"/>
      <c r="C73" s="119"/>
      <c r="D73" s="120"/>
      <c r="E73" s="138"/>
    </row>
    <row r="74" spans="1:5" ht="14.25" customHeight="1">
      <c r="A74" s="113" t="s">
        <v>120</v>
      </c>
      <c r="B74" s="114"/>
      <c r="C74" s="114"/>
      <c r="D74" s="114"/>
      <c r="E74" s="138"/>
    </row>
    <row r="75" spans="1:5" ht="14.25" customHeight="1">
      <c r="A75" s="2" t="s">
        <v>121</v>
      </c>
      <c r="B75" s="3" t="s">
        <v>122</v>
      </c>
      <c r="C75" s="2" t="s">
        <v>123</v>
      </c>
      <c r="D75" s="2" t="s">
        <v>5</v>
      </c>
      <c r="E75" s="138"/>
    </row>
    <row r="76" spans="1:5" ht="14.25" customHeight="1">
      <c r="A76" s="2" t="s">
        <v>27</v>
      </c>
      <c r="B76" s="59" t="s">
        <v>124</v>
      </c>
      <c r="C76" s="60">
        <f>((1+1/3)/12)/12</f>
        <v>9.2592592592592587E-3</v>
      </c>
      <c r="D76" s="64">
        <f t="shared" ref="D76:D81" si="3">TRUNC(($D$71*C76),2)</f>
        <v>29.97</v>
      </c>
      <c r="E76" s="139"/>
    </row>
    <row r="77" spans="1:5" ht="14.25" customHeight="1">
      <c r="A77" s="2" t="s">
        <v>30</v>
      </c>
      <c r="B77" s="59" t="s">
        <v>125</v>
      </c>
      <c r="C77" s="60">
        <f>((2/30)/12)</f>
        <v>5.5555555555555558E-3</v>
      </c>
      <c r="D77" s="64">
        <f t="shared" si="3"/>
        <v>17.98</v>
      </c>
      <c r="E77" s="139"/>
    </row>
    <row r="78" spans="1:5" ht="14.25" customHeight="1">
      <c r="A78" s="2" t="s">
        <v>33</v>
      </c>
      <c r="B78" s="59" t="s">
        <v>126</v>
      </c>
      <c r="C78" s="60">
        <f>(((5/30)/12)*0.02)</f>
        <v>2.7777777777777778E-4</v>
      </c>
      <c r="D78" s="64">
        <f t="shared" si="3"/>
        <v>0.89</v>
      </c>
      <c r="E78" s="139"/>
    </row>
    <row r="79" spans="1:5" ht="14.25" customHeight="1">
      <c r="A79" s="2" t="s">
        <v>35</v>
      </c>
      <c r="B79" s="59" t="s">
        <v>127</v>
      </c>
      <c r="C79" s="60">
        <f>((15/30)/12)*0.08</f>
        <v>3.3333333333333331E-3</v>
      </c>
      <c r="D79" s="64">
        <f t="shared" si="3"/>
        <v>10.79</v>
      </c>
      <c r="E79" s="139"/>
    </row>
    <row r="80" spans="1:5" ht="14.25" customHeight="1">
      <c r="A80" s="2" t="s">
        <v>38</v>
      </c>
      <c r="B80" s="59" t="s">
        <v>128</v>
      </c>
      <c r="C80" s="60">
        <f>((1+1/3)/12)*0.03*((4/12))</f>
        <v>1.1111111111111109E-3</v>
      </c>
      <c r="D80" s="64">
        <f t="shared" si="3"/>
        <v>3.59</v>
      </c>
      <c r="E80" s="139"/>
    </row>
    <row r="81" spans="1:5" ht="14.25" customHeight="1">
      <c r="A81" s="2" t="s">
        <v>40</v>
      </c>
      <c r="B81" s="59" t="s">
        <v>218</v>
      </c>
      <c r="C81" s="60">
        <v>0</v>
      </c>
      <c r="D81" s="64">
        <f t="shared" si="3"/>
        <v>0</v>
      </c>
      <c r="E81" s="139"/>
    </row>
    <row r="82" spans="1:5" ht="14.25" customHeight="1">
      <c r="A82" s="2" t="s">
        <v>43</v>
      </c>
      <c r="B82" s="3"/>
      <c r="C82" s="23">
        <f>SUBTOTAL(109,THB!$C$76:$C$81)</f>
        <v>1.9537037037037037E-2</v>
      </c>
      <c r="D82" s="9">
        <f>TRUNC(SUM(D76:D81),2)</f>
        <v>63.22</v>
      </c>
      <c r="E82" s="138"/>
    </row>
    <row r="83" spans="1:5" ht="14.25" customHeight="1">
      <c r="A83" s="14"/>
      <c r="C83" s="14"/>
      <c r="D83" s="15"/>
      <c r="E83" s="138"/>
    </row>
    <row r="84" spans="1:5" ht="14.25" customHeight="1">
      <c r="A84" s="113" t="s">
        <v>139</v>
      </c>
      <c r="B84" s="114"/>
      <c r="C84" s="114"/>
      <c r="D84" s="114"/>
      <c r="E84" s="138"/>
    </row>
    <row r="85" spans="1:5" ht="14.25" customHeight="1">
      <c r="A85" s="2" t="s">
        <v>140</v>
      </c>
      <c r="B85" s="3" t="s">
        <v>141</v>
      </c>
      <c r="C85" s="2" t="s">
        <v>4</v>
      </c>
      <c r="D85" s="2" t="s">
        <v>5</v>
      </c>
      <c r="E85" s="138"/>
    </row>
    <row r="86" spans="1:5" ht="14.25" customHeight="1">
      <c r="A86" s="2" t="s">
        <v>27</v>
      </c>
      <c r="B86" s="3" t="s">
        <v>142</v>
      </c>
      <c r="C86" s="2"/>
      <c r="D86" s="9"/>
      <c r="E86" s="138"/>
    </row>
    <row r="87" spans="1:5" ht="14.25" customHeight="1">
      <c r="A87" s="2" t="s">
        <v>43</v>
      </c>
      <c r="B87" s="3"/>
      <c r="C87" s="2"/>
      <c r="D87" s="9">
        <f>SUBTOTAL(109,THB!$D$86)</f>
        <v>0</v>
      </c>
      <c r="E87" s="138"/>
    </row>
    <row r="88" spans="1:5" ht="14.25" customHeight="1">
      <c r="E88" s="138"/>
    </row>
    <row r="89" spans="1:5" ht="14.25" customHeight="1">
      <c r="A89" s="113" t="s">
        <v>143</v>
      </c>
      <c r="B89" s="114"/>
      <c r="C89" s="114"/>
      <c r="D89" s="114"/>
      <c r="E89" s="138"/>
    </row>
    <row r="90" spans="1:5" ht="14.25" customHeight="1">
      <c r="A90" s="2" t="s">
        <v>144</v>
      </c>
      <c r="B90" s="3" t="s">
        <v>145</v>
      </c>
      <c r="C90" s="2" t="s">
        <v>4</v>
      </c>
      <c r="D90" s="2" t="s">
        <v>5</v>
      </c>
      <c r="E90" s="138"/>
    </row>
    <row r="91" spans="1:5" ht="14.25" customHeight="1">
      <c r="A91" s="2" t="s">
        <v>121</v>
      </c>
      <c r="B91" s="3" t="s">
        <v>122</v>
      </c>
      <c r="C91" s="3"/>
      <c r="D91" s="9">
        <f>D82</f>
        <v>63.22</v>
      </c>
      <c r="E91" s="138"/>
    </row>
    <row r="92" spans="1:5" ht="14.25" customHeight="1">
      <c r="A92" s="2" t="s">
        <v>140</v>
      </c>
      <c r="B92" s="3" t="s">
        <v>146</v>
      </c>
      <c r="C92" s="3"/>
      <c r="D92" s="9">
        <f>THB!$D$87</f>
        <v>0</v>
      </c>
      <c r="E92" s="138"/>
    </row>
    <row r="93" spans="1:5" ht="14.25" customHeight="1">
      <c r="A93" s="2" t="s">
        <v>43</v>
      </c>
      <c r="B93" s="3"/>
      <c r="C93" s="3"/>
      <c r="D93" s="9">
        <f>TRUNC(SUM(D91:D92),2)</f>
        <v>63.22</v>
      </c>
      <c r="E93" s="138"/>
    </row>
    <row r="94" spans="1:5" ht="14.25" customHeight="1">
      <c r="E94" s="138"/>
    </row>
    <row r="95" spans="1:5" ht="14.25" customHeight="1">
      <c r="A95" s="115" t="s">
        <v>147</v>
      </c>
      <c r="B95" s="116"/>
      <c r="C95" s="116"/>
      <c r="D95" s="117"/>
      <c r="E95" s="138"/>
    </row>
    <row r="96" spans="1:5" ht="14.25" customHeight="1">
      <c r="A96" s="2" t="s">
        <v>148</v>
      </c>
      <c r="B96" s="3" t="s">
        <v>149</v>
      </c>
      <c r="C96" s="2" t="s">
        <v>4</v>
      </c>
      <c r="D96" s="2" t="s">
        <v>5</v>
      </c>
      <c r="E96" s="138"/>
    </row>
    <row r="97" spans="1:7" ht="14.25" customHeight="1">
      <c r="A97" s="2" t="s">
        <v>27</v>
      </c>
      <c r="B97" s="3" t="s">
        <v>219</v>
      </c>
      <c r="C97" s="3"/>
      <c r="D97" s="76">
        <v>22.24</v>
      </c>
      <c r="E97" s="140"/>
    </row>
    <row r="98" spans="1:7" ht="14.25" customHeight="1">
      <c r="A98" s="2" t="s">
        <v>30</v>
      </c>
      <c r="B98" s="3" t="s">
        <v>151</v>
      </c>
      <c r="C98" s="3"/>
      <c r="D98" s="66">
        <v>0</v>
      </c>
      <c r="E98" s="138"/>
    </row>
    <row r="99" spans="1:7" ht="14.25" customHeight="1">
      <c r="A99" s="2" t="s">
        <v>33</v>
      </c>
      <c r="B99" s="3" t="s">
        <v>152</v>
      </c>
      <c r="C99" s="3"/>
      <c r="D99" s="66">
        <v>0</v>
      </c>
      <c r="E99" s="138"/>
    </row>
    <row r="100" spans="1:7" ht="14.25" customHeight="1">
      <c r="A100" s="2" t="s">
        <v>35</v>
      </c>
      <c r="B100" s="3" t="s">
        <v>220</v>
      </c>
      <c r="C100" s="3"/>
      <c r="D100" s="66">
        <v>0</v>
      </c>
      <c r="E100" s="138"/>
    </row>
    <row r="101" spans="1:7" ht="14.25" customHeight="1">
      <c r="A101" s="2" t="s">
        <v>43</v>
      </c>
      <c r="B101" s="3"/>
      <c r="C101" s="3"/>
      <c r="D101" s="9">
        <f>TRUNC(SUM(D97:D100),2)</f>
        <v>22.24</v>
      </c>
      <c r="E101" s="138"/>
    </row>
    <row r="102" spans="1:7" ht="14.25" customHeight="1">
      <c r="A102" s="14"/>
      <c r="D102" s="15"/>
      <c r="E102" s="138"/>
    </row>
    <row r="103" spans="1:7" ht="14.25" customHeight="1">
      <c r="A103" s="129" t="s">
        <v>221</v>
      </c>
      <c r="B103" s="130"/>
      <c r="C103" s="52" t="s">
        <v>212</v>
      </c>
      <c r="D103" s="53">
        <f>D17</f>
        <v>1810.97</v>
      </c>
      <c r="E103" s="138"/>
    </row>
    <row r="104" spans="1:7" ht="14.25" customHeight="1">
      <c r="A104" s="131"/>
      <c r="B104" s="132"/>
      <c r="C104" s="54" t="s">
        <v>216</v>
      </c>
      <c r="D104" s="53">
        <f>D56</f>
        <v>1313.32</v>
      </c>
      <c r="E104" s="138"/>
    </row>
    <row r="105" spans="1:7" ht="14.25" customHeight="1">
      <c r="A105" s="131"/>
      <c r="B105" s="132"/>
      <c r="C105" s="52" t="s">
        <v>217</v>
      </c>
      <c r="D105" s="53">
        <f>D66</f>
        <v>112.84</v>
      </c>
      <c r="E105" s="138"/>
    </row>
    <row r="106" spans="1:7" ht="14.25" customHeight="1">
      <c r="A106" s="131"/>
      <c r="B106" s="132"/>
      <c r="C106" s="54" t="s">
        <v>222</v>
      </c>
      <c r="D106" s="53">
        <f>D93</f>
        <v>63.22</v>
      </c>
      <c r="E106" s="138"/>
    </row>
    <row r="107" spans="1:7" ht="14.25" customHeight="1">
      <c r="A107" s="131"/>
      <c r="B107" s="132"/>
      <c r="C107" s="52" t="s">
        <v>223</v>
      </c>
      <c r="D107" s="53">
        <f>D101</f>
        <v>22.24</v>
      </c>
      <c r="E107" s="138"/>
    </row>
    <row r="108" spans="1:7" ht="14.25" customHeight="1">
      <c r="A108" s="133"/>
      <c r="B108" s="134"/>
      <c r="C108" s="54" t="s">
        <v>199</v>
      </c>
      <c r="D108" s="55">
        <f>TRUNC((SUM(D103:D107)),2)</f>
        <v>3322.59</v>
      </c>
      <c r="E108" s="138"/>
    </row>
    <row r="109" spans="1:7" ht="14.25" customHeight="1">
      <c r="A109" s="14"/>
      <c r="D109" s="15"/>
      <c r="E109" s="138"/>
    </row>
    <row r="110" spans="1:7" ht="14.25" customHeight="1">
      <c r="A110" s="115" t="s">
        <v>159</v>
      </c>
      <c r="B110" s="116"/>
      <c r="C110" s="116"/>
      <c r="D110" s="117"/>
      <c r="E110" s="138"/>
      <c r="F110" s="135" t="s">
        <v>224</v>
      </c>
      <c r="G110" s="136"/>
    </row>
    <row r="111" spans="1:7" ht="14.25" customHeight="1">
      <c r="A111" s="2" t="s">
        <v>160</v>
      </c>
      <c r="B111" s="3" t="s">
        <v>161</v>
      </c>
      <c r="C111" s="2" t="s">
        <v>23</v>
      </c>
      <c r="D111" s="2" t="s">
        <v>5</v>
      </c>
      <c r="E111" s="138"/>
      <c r="F111" s="67" t="s">
        <v>225</v>
      </c>
      <c r="G111" s="68">
        <f>C114</f>
        <v>8.6499999999999994E-2</v>
      </c>
    </row>
    <row r="112" spans="1:7" ht="14.25" customHeight="1">
      <c r="A112" s="2" t="s">
        <v>27</v>
      </c>
      <c r="B112" s="3" t="s">
        <v>162</v>
      </c>
      <c r="C112" s="56">
        <v>2.2499999999999999E-2</v>
      </c>
      <c r="D112" s="57">
        <f>TRUNC(($D$108*C112),2)</f>
        <v>74.75</v>
      </c>
      <c r="E112" s="140"/>
      <c r="F112" s="69" t="s">
        <v>226</v>
      </c>
      <c r="G112" s="70">
        <f>TRUNC(SUM(D108,D112,D113),2)</f>
        <v>3416.02</v>
      </c>
    </row>
    <row r="113" spans="1:7" ht="14.25" customHeight="1">
      <c r="A113" s="2" t="s">
        <v>30</v>
      </c>
      <c r="B113" s="3" t="s">
        <v>44</v>
      </c>
      <c r="C113" s="56">
        <v>5.4999999999999997E-3</v>
      </c>
      <c r="D113" s="57">
        <f>TRUNC((D108+D112)*C113,2)</f>
        <v>18.68</v>
      </c>
      <c r="E113" s="140"/>
      <c r="F113" s="67" t="s">
        <v>227</v>
      </c>
      <c r="G113" s="71">
        <f>(100-8.65)/100</f>
        <v>0.91349999999999998</v>
      </c>
    </row>
    <row r="114" spans="1:7" ht="14.25" customHeight="1">
      <c r="A114" s="2" t="s">
        <v>33</v>
      </c>
      <c r="B114" s="3" t="s">
        <v>163</v>
      </c>
      <c r="C114" s="56">
        <f t="shared" ref="C114:D114" si="4">SUM(C115:C117)</f>
        <v>8.6499999999999994E-2</v>
      </c>
      <c r="D114" s="57">
        <f t="shared" si="4"/>
        <v>323.45000000000005</v>
      </c>
      <c r="E114" s="138"/>
      <c r="F114" s="69" t="s">
        <v>224</v>
      </c>
      <c r="G114" s="70">
        <f>TRUNC((G112/G113),2)</f>
        <v>3739.48</v>
      </c>
    </row>
    <row r="115" spans="1:7" ht="14.25" customHeight="1">
      <c r="A115" s="2" t="s">
        <v>164</v>
      </c>
      <c r="B115" s="3" t="s">
        <v>45</v>
      </c>
      <c r="C115" s="56">
        <v>6.4999999999999997E-3</v>
      </c>
      <c r="D115" s="57">
        <f t="shared" ref="D115:D117" si="5">TRUNC(($G$114*C115),2)</f>
        <v>24.3</v>
      </c>
      <c r="E115" s="138"/>
    </row>
    <row r="116" spans="1:7" ht="14.25" customHeight="1">
      <c r="A116" s="2" t="s">
        <v>165</v>
      </c>
      <c r="B116" s="3" t="s">
        <v>47</v>
      </c>
      <c r="C116" s="56">
        <v>0.03</v>
      </c>
      <c r="D116" s="57">
        <f t="shared" si="5"/>
        <v>112.18</v>
      </c>
      <c r="E116" s="138"/>
    </row>
    <row r="117" spans="1:7" ht="14.25" customHeight="1">
      <c r="A117" s="2" t="s">
        <v>166</v>
      </c>
      <c r="B117" s="3" t="s">
        <v>49</v>
      </c>
      <c r="C117" s="56">
        <v>0.05</v>
      </c>
      <c r="D117" s="57">
        <f t="shared" si="5"/>
        <v>186.97</v>
      </c>
      <c r="E117" s="138"/>
    </row>
    <row r="118" spans="1:7" ht="14.25" customHeight="1">
      <c r="A118" s="2" t="s">
        <v>43</v>
      </c>
      <c r="B118" s="3"/>
      <c r="C118" s="2"/>
      <c r="D118" s="9">
        <f>TRUNC(SUM(D112:D114),2)</f>
        <v>416.88</v>
      </c>
      <c r="E118" s="138"/>
    </row>
    <row r="119" spans="1:7" ht="14.25" customHeight="1">
      <c r="A119" s="14"/>
      <c r="C119" s="14"/>
      <c r="D119" s="15"/>
      <c r="E119" s="138"/>
    </row>
    <row r="120" spans="1:7" ht="14.25" customHeight="1">
      <c r="A120" s="115" t="s">
        <v>167</v>
      </c>
      <c r="B120" s="116"/>
      <c r="C120" s="116"/>
      <c r="D120" s="117"/>
      <c r="E120" s="138"/>
    </row>
    <row r="121" spans="1:7" ht="14.25" customHeight="1">
      <c r="A121" s="2" t="s">
        <v>2</v>
      </c>
      <c r="B121" s="2" t="s">
        <v>168</v>
      </c>
      <c r="C121" s="2" t="s">
        <v>94</v>
      </c>
      <c r="D121" s="2" t="s">
        <v>5</v>
      </c>
      <c r="E121" s="138"/>
    </row>
    <row r="122" spans="1:7" ht="14.25" customHeight="1">
      <c r="A122" s="2" t="s">
        <v>27</v>
      </c>
      <c r="B122" s="3" t="s">
        <v>21</v>
      </c>
      <c r="C122" s="3"/>
      <c r="D122" s="9">
        <f>D17</f>
        <v>1810.97</v>
      </c>
      <c r="E122" s="138"/>
    </row>
    <row r="123" spans="1:7" ht="14.25" customHeight="1">
      <c r="A123" s="2" t="s">
        <v>30</v>
      </c>
      <c r="B123" s="3" t="s">
        <v>46</v>
      </c>
      <c r="C123" s="3"/>
      <c r="D123" s="9">
        <f>D56</f>
        <v>1313.32</v>
      </c>
    </row>
    <row r="124" spans="1:7" ht="14.25" customHeight="1">
      <c r="A124" s="2" t="s">
        <v>33</v>
      </c>
      <c r="B124" s="3" t="s">
        <v>100</v>
      </c>
      <c r="C124" s="3"/>
      <c r="D124" s="9">
        <f>D66</f>
        <v>112.84</v>
      </c>
    </row>
    <row r="125" spans="1:7" ht="14.25" customHeight="1">
      <c r="A125" s="2" t="s">
        <v>35</v>
      </c>
      <c r="B125" s="3" t="s">
        <v>169</v>
      </c>
      <c r="C125" s="3"/>
      <c r="D125" s="9">
        <f>D93</f>
        <v>63.22</v>
      </c>
    </row>
    <row r="126" spans="1:7" ht="14.25" customHeight="1">
      <c r="A126" s="2" t="s">
        <v>38</v>
      </c>
      <c r="B126" s="3" t="s">
        <v>147</v>
      </c>
      <c r="C126" s="3"/>
      <c r="D126" s="9">
        <f>D101</f>
        <v>22.24</v>
      </c>
    </row>
    <row r="127" spans="1:7" ht="14.25" customHeight="1">
      <c r="A127" s="3" t="s">
        <v>170</v>
      </c>
      <c r="B127" s="3"/>
      <c r="C127" s="3"/>
      <c r="D127" s="9">
        <f>TRUNC(SUM(D122:D126),2)</f>
        <v>3322.59</v>
      </c>
    </row>
    <row r="128" spans="1:7" ht="14.25" customHeight="1">
      <c r="A128" s="2" t="s">
        <v>40</v>
      </c>
      <c r="B128" s="3" t="s">
        <v>159</v>
      </c>
      <c r="C128" s="3"/>
      <c r="D128" s="9">
        <f>D118</f>
        <v>416.88</v>
      </c>
    </row>
    <row r="129" spans="1:4" ht="14.25" customHeight="1">
      <c r="A129" s="72" t="s">
        <v>171</v>
      </c>
      <c r="B129" s="27"/>
      <c r="C129" s="27"/>
      <c r="D129" s="73">
        <f>TRUNC((SUM(D122:D126)+D128),2)</f>
        <v>3739.47</v>
      </c>
    </row>
    <row r="130" spans="1:4" ht="14.25" customHeight="1"/>
    <row r="131" spans="1:4" ht="14.25" customHeight="1"/>
    <row r="132" spans="1:4" ht="14.25" customHeight="1"/>
    <row r="133" spans="1:4" ht="14.25" customHeight="1"/>
    <row r="134" spans="1:4" ht="14.25" customHeight="1"/>
    <row r="135" spans="1:4" ht="14.25" customHeight="1"/>
    <row r="136" spans="1:4" ht="14.25" customHeight="1"/>
    <row r="137" spans="1:4" ht="14.25" customHeight="1"/>
    <row r="138" spans="1:4" ht="14.25" customHeight="1"/>
    <row r="139" spans="1:4" ht="14.25" customHeight="1"/>
    <row r="140" spans="1:4" ht="14.25" customHeight="1"/>
    <row r="141" spans="1:4" ht="14.25" customHeight="1"/>
    <row r="142" spans="1:4" ht="14.25" customHeight="1"/>
    <row r="143" spans="1:4" ht="14.25" customHeight="1"/>
    <row r="144" spans="1: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">
    <mergeCell ref="A110:D110"/>
    <mergeCell ref="F110:G110"/>
    <mergeCell ref="A120:D120"/>
    <mergeCell ref="A42:D42"/>
    <mergeCell ref="A51:D51"/>
    <mergeCell ref="A58:D58"/>
    <mergeCell ref="A68:B71"/>
    <mergeCell ref="A73:D73"/>
    <mergeCell ref="A74:D74"/>
    <mergeCell ref="A84:D84"/>
    <mergeCell ref="A26:B28"/>
    <mergeCell ref="A30:D30"/>
    <mergeCell ref="A89:D89"/>
    <mergeCell ref="A95:D95"/>
    <mergeCell ref="A103:B108"/>
    <mergeCell ref="A1:D1"/>
    <mergeCell ref="F1:G1"/>
    <mergeCell ref="A9:D9"/>
    <mergeCell ref="A19:D19"/>
    <mergeCell ref="A20:D20"/>
  </mergeCells>
  <pageMargins left="0.511811024" right="0.511811024" top="0.78740157499999996" bottom="0.78740157499999996" header="0" footer="0"/>
  <pageSetup orientation="landscape"/>
  <legacyDrawing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13.xml><?xml version="1.0" encoding="utf-8"?>
<worksheet xmlns="http://schemas.openxmlformats.org/spreadsheetml/2006/main" xmlns:r="http://schemas.openxmlformats.org/officeDocument/2006/relationships">
  <dimension ref="A1:I1000"/>
  <sheetViews>
    <sheetView workbookViewId="0">
      <selection sqref="A1:F1"/>
    </sheetView>
  </sheetViews>
  <sheetFormatPr defaultColWidth="12.6640625" defaultRowHeight="15" customHeight="1"/>
  <cols>
    <col min="1" max="1" width="8" customWidth="1"/>
    <col min="2" max="2" width="30.4140625" customWidth="1"/>
    <col min="3" max="3" width="10" customWidth="1"/>
    <col min="4" max="4" width="9.75" customWidth="1"/>
    <col min="5" max="5" width="12.4140625" customWidth="1"/>
    <col min="6" max="6" width="13.4140625" customWidth="1"/>
    <col min="7" max="26" width="8" customWidth="1"/>
  </cols>
  <sheetData>
    <row r="1" spans="1:6" ht="14.25" customHeight="1">
      <c r="A1" s="137" t="s">
        <v>235</v>
      </c>
      <c r="B1" s="119"/>
      <c r="C1" s="119"/>
      <c r="D1" s="119"/>
      <c r="E1" s="119"/>
      <c r="F1" s="120"/>
    </row>
    <row r="2" spans="1:6" ht="14.25" customHeight="1">
      <c r="A2" s="77" t="s">
        <v>236</v>
      </c>
      <c r="B2" s="77" t="s">
        <v>237</v>
      </c>
      <c r="C2" s="77" t="s">
        <v>238</v>
      </c>
      <c r="D2" s="77" t="s">
        <v>239</v>
      </c>
      <c r="E2" s="77" t="s">
        <v>240</v>
      </c>
      <c r="F2" s="77" t="s">
        <v>241</v>
      </c>
    </row>
    <row r="3" spans="1:6" ht="14.25" customHeight="1">
      <c r="A3" s="78">
        <v>1</v>
      </c>
      <c r="B3" s="79" t="s">
        <v>242</v>
      </c>
      <c r="C3" s="80" t="s">
        <v>243</v>
      </c>
      <c r="D3" s="81">
        <v>34.04</v>
      </c>
      <c r="E3" s="80">
        <v>2</v>
      </c>
      <c r="F3" s="82">
        <f t="shared" ref="F3:F4" si="0">TRUNC(E3*D3,2)</f>
        <v>68.08</v>
      </c>
    </row>
    <row r="4" spans="1:6" ht="14.25" customHeight="1">
      <c r="A4" s="83">
        <v>2</v>
      </c>
      <c r="B4" s="84" t="s">
        <v>244</v>
      </c>
      <c r="C4" s="85" t="s">
        <v>243</v>
      </c>
      <c r="D4" s="81">
        <v>27.33</v>
      </c>
      <c r="E4" s="85">
        <v>2</v>
      </c>
      <c r="F4" s="86">
        <f t="shared" si="0"/>
        <v>54.66</v>
      </c>
    </row>
    <row r="5" spans="1:6" ht="14.25" customHeight="1">
      <c r="A5" s="87" t="s">
        <v>43</v>
      </c>
      <c r="B5" s="88"/>
      <c r="C5" s="88"/>
      <c r="D5" s="88"/>
      <c r="E5" s="88"/>
      <c r="F5" s="89">
        <f>TRUNC(SUM(F3:F4),2)</f>
        <v>122.74</v>
      </c>
    </row>
    <row r="6" spans="1:6" ht="14.25" customHeight="1">
      <c r="A6" s="90"/>
      <c r="B6" s="91" t="s">
        <v>245</v>
      </c>
      <c r="C6" s="92"/>
      <c r="D6" s="92"/>
      <c r="E6" s="92"/>
      <c r="F6" s="93">
        <f>TRUNC(F5/12,2)</f>
        <v>10.220000000000001</v>
      </c>
    </row>
    <row r="7" spans="1:6" ht="14.25" customHeight="1"/>
    <row r="8" spans="1:6" ht="14.25" customHeight="1"/>
    <row r="9" spans="1:6" ht="14.25" customHeight="1">
      <c r="A9" s="137" t="s">
        <v>246</v>
      </c>
      <c r="B9" s="119"/>
      <c r="C9" s="119"/>
      <c r="D9" s="119"/>
      <c r="E9" s="119"/>
      <c r="F9" s="120"/>
    </row>
    <row r="10" spans="1:6" ht="14.25" customHeight="1">
      <c r="A10" s="77" t="s">
        <v>236</v>
      </c>
      <c r="B10" s="77" t="s">
        <v>237</v>
      </c>
      <c r="C10" s="77" t="s">
        <v>238</v>
      </c>
      <c r="D10" s="77" t="s">
        <v>239</v>
      </c>
      <c r="E10" s="77" t="s">
        <v>240</v>
      </c>
      <c r="F10" s="77" t="s">
        <v>241</v>
      </c>
    </row>
    <row r="11" spans="1:6" ht="14.25" customHeight="1">
      <c r="A11" s="78">
        <v>1</v>
      </c>
      <c r="B11" s="79" t="s">
        <v>242</v>
      </c>
      <c r="C11" s="80" t="s">
        <v>243</v>
      </c>
      <c r="D11" s="81">
        <v>34.04</v>
      </c>
      <c r="E11" s="80">
        <v>2</v>
      </c>
      <c r="F11" s="82">
        <f t="shared" ref="F11:F13" si="1">TRUNC(E11*D11,2)</f>
        <v>68.08</v>
      </c>
    </row>
    <row r="12" spans="1:6" ht="14.25" customHeight="1">
      <c r="A12" s="94">
        <v>2</v>
      </c>
      <c r="B12" s="84" t="s">
        <v>244</v>
      </c>
      <c r="C12" s="95" t="s">
        <v>243</v>
      </c>
      <c r="D12" s="96">
        <v>27.33</v>
      </c>
      <c r="E12" s="95">
        <v>2</v>
      </c>
      <c r="F12" s="86">
        <f t="shared" si="1"/>
        <v>54.66</v>
      </c>
    </row>
    <row r="13" spans="1:6" ht="14.25" customHeight="1">
      <c r="A13" s="97">
        <v>3</v>
      </c>
      <c r="B13" s="98" t="s">
        <v>247</v>
      </c>
      <c r="C13" s="97" t="s">
        <v>243</v>
      </c>
      <c r="D13" s="99">
        <v>38.619999999999997</v>
      </c>
      <c r="E13" s="97">
        <v>1</v>
      </c>
      <c r="F13" s="78">
        <f t="shared" si="1"/>
        <v>38.619999999999997</v>
      </c>
    </row>
    <row r="14" spans="1:6" ht="14.25" customHeight="1">
      <c r="A14" s="87" t="s">
        <v>43</v>
      </c>
      <c r="B14" s="88"/>
      <c r="C14" s="88"/>
      <c r="D14" s="88"/>
      <c r="E14" s="88"/>
      <c r="F14" s="89">
        <f>TRUNC(SUM(F11:F13),2)</f>
        <v>161.36000000000001</v>
      </c>
    </row>
    <row r="15" spans="1:6" ht="14.25" customHeight="1">
      <c r="A15" s="90"/>
      <c r="B15" s="91" t="s">
        <v>245</v>
      </c>
      <c r="C15" s="92"/>
      <c r="D15" s="92"/>
      <c r="E15" s="92"/>
      <c r="F15" s="93">
        <f>TRUNC((F14/12),2)</f>
        <v>13.44</v>
      </c>
    </row>
    <row r="16" spans="1:6" ht="14.25" customHeight="1">
      <c r="F16" s="12"/>
    </row>
    <row r="17" spans="1:8" ht="14.25" customHeight="1"/>
    <row r="18" spans="1:8" ht="14.25" customHeight="1">
      <c r="A18" s="137" t="s">
        <v>248</v>
      </c>
      <c r="B18" s="119"/>
      <c r="C18" s="119"/>
      <c r="D18" s="119"/>
      <c r="E18" s="119"/>
      <c r="F18" s="120"/>
    </row>
    <row r="19" spans="1:8" ht="14.25" customHeight="1">
      <c r="A19" s="77" t="s">
        <v>236</v>
      </c>
      <c r="B19" s="77" t="s">
        <v>237</v>
      </c>
      <c r="C19" s="77" t="s">
        <v>238</v>
      </c>
      <c r="D19" s="77" t="s">
        <v>239</v>
      </c>
      <c r="E19" s="77" t="s">
        <v>240</v>
      </c>
      <c r="F19" s="77" t="s">
        <v>241</v>
      </c>
    </row>
    <row r="20" spans="1:8" ht="14.25" customHeight="1">
      <c r="A20" s="78">
        <v>1</v>
      </c>
      <c r="B20" s="79" t="s">
        <v>249</v>
      </c>
      <c r="C20" s="80" t="s">
        <v>243</v>
      </c>
      <c r="D20" s="81">
        <v>34.97</v>
      </c>
      <c r="E20" s="80">
        <v>2</v>
      </c>
      <c r="F20" s="82">
        <f t="shared" ref="F20:F23" si="2">TRUNC(E20*D20,2)</f>
        <v>69.94</v>
      </c>
      <c r="H20" s="1"/>
    </row>
    <row r="21" spans="1:8" ht="14.25" customHeight="1">
      <c r="A21" s="100">
        <v>2</v>
      </c>
      <c r="B21" s="101" t="s">
        <v>250</v>
      </c>
      <c r="C21" s="102" t="s">
        <v>243</v>
      </c>
      <c r="D21" s="99">
        <v>35.119999999999997</v>
      </c>
      <c r="E21" s="102">
        <v>2</v>
      </c>
      <c r="F21" s="103">
        <f t="shared" si="2"/>
        <v>70.239999999999995</v>
      </c>
    </row>
    <row r="22" spans="1:8" ht="14.25" customHeight="1">
      <c r="A22" s="78">
        <v>3</v>
      </c>
      <c r="B22" s="79" t="s">
        <v>251</v>
      </c>
      <c r="C22" s="78" t="s">
        <v>243</v>
      </c>
      <c r="D22" s="99">
        <v>37.35</v>
      </c>
      <c r="E22" s="78">
        <v>1</v>
      </c>
      <c r="F22" s="78">
        <f t="shared" si="2"/>
        <v>37.35</v>
      </c>
    </row>
    <row r="23" spans="1:8" ht="14.25" customHeight="1">
      <c r="A23" s="78">
        <v>5</v>
      </c>
      <c r="B23" s="79" t="s">
        <v>252</v>
      </c>
      <c r="C23" s="78" t="s">
        <v>243</v>
      </c>
      <c r="D23" s="99">
        <v>12.53</v>
      </c>
      <c r="E23" s="78">
        <v>2</v>
      </c>
      <c r="F23" s="78">
        <f t="shared" si="2"/>
        <v>25.06</v>
      </c>
    </row>
    <row r="24" spans="1:8" ht="14.25" customHeight="1">
      <c r="A24" s="87" t="s">
        <v>43</v>
      </c>
      <c r="B24" s="88"/>
      <c r="C24" s="88"/>
      <c r="D24" s="88"/>
      <c r="E24" s="88"/>
      <c r="F24" s="89">
        <f>TRUNC(SUM(F20:F23),2)</f>
        <v>202.59</v>
      </c>
    </row>
    <row r="25" spans="1:8" ht="14.25" customHeight="1">
      <c r="A25" s="90"/>
      <c r="B25" s="91" t="s">
        <v>245</v>
      </c>
      <c r="C25" s="92"/>
      <c r="D25" s="92"/>
      <c r="E25" s="92"/>
      <c r="F25" s="93">
        <f>TRUNC((F24/12),2)</f>
        <v>16.88</v>
      </c>
    </row>
    <row r="26" spans="1:8" ht="14.25" customHeight="1"/>
    <row r="27" spans="1:8" ht="14.25" customHeight="1"/>
    <row r="28" spans="1:8" ht="14.25" customHeight="1">
      <c r="A28" s="137" t="s">
        <v>253</v>
      </c>
      <c r="B28" s="119"/>
      <c r="C28" s="119"/>
      <c r="D28" s="119"/>
      <c r="E28" s="119"/>
      <c r="F28" s="120"/>
    </row>
    <row r="29" spans="1:8" ht="14.25" customHeight="1">
      <c r="A29" s="77" t="s">
        <v>236</v>
      </c>
      <c r="B29" s="77" t="s">
        <v>237</v>
      </c>
      <c r="C29" s="77" t="s">
        <v>238</v>
      </c>
      <c r="D29" s="77" t="s">
        <v>239</v>
      </c>
      <c r="E29" s="77" t="s">
        <v>240</v>
      </c>
      <c r="F29" s="77" t="s">
        <v>241</v>
      </c>
    </row>
    <row r="30" spans="1:8" ht="14.25" customHeight="1">
      <c r="A30" s="78">
        <v>1</v>
      </c>
      <c r="B30" s="79" t="s">
        <v>249</v>
      </c>
      <c r="C30" s="80" t="s">
        <v>243</v>
      </c>
      <c r="D30" s="81">
        <v>34.97</v>
      </c>
      <c r="E30" s="80">
        <v>2</v>
      </c>
      <c r="F30" s="82">
        <f t="shared" ref="F30:F33" si="3">TRUNC(E30*D30,2)</f>
        <v>69.94</v>
      </c>
    </row>
    <row r="31" spans="1:8" ht="14.25" customHeight="1">
      <c r="A31" s="100">
        <v>2</v>
      </c>
      <c r="B31" s="101" t="s">
        <v>250</v>
      </c>
      <c r="C31" s="102" t="s">
        <v>243</v>
      </c>
      <c r="D31" s="99">
        <v>35.119999999999997</v>
      </c>
      <c r="E31" s="102">
        <v>2</v>
      </c>
      <c r="F31" s="103">
        <f t="shared" si="3"/>
        <v>70.239999999999995</v>
      </c>
    </row>
    <row r="32" spans="1:8" ht="14.25" customHeight="1">
      <c r="A32" s="78">
        <v>3</v>
      </c>
      <c r="B32" s="79" t="s">
        <v>251</v>
      </c>
      <c r="C32" s="78" t="s">
        <v>243</v>
      </c>
      <c r="D32" s="99">
        <v>37.35</v>
      </c>
      <c r="E32" s="78">
        <v>1</v>
      </c>
      <c r="F32" s="78">
        <f t="shared" si="3"/>
        <v>37.35</v>
      </c>
    </row>
    <row r="33" spans="1:9" ht="14.25" customHeight="1">
      <c r="A33" s="100">
        <v>4</v>
      </c>
      <c r="B33" s="101" t="s">
        <v>252</v>
      </c>
      <c r="C33" s="83" t="s">
        <v>243</v>
      </c>
      <c r="D33" s="99">
        <v>12.53</v>
      </c>
      <c r="E33" s="83">
        <v>2</v>
      </c>
      <c r="F33" s="83">
        <f t="shared" si="3"/>
        <v>25.06</v>
      </c>
    </row>
    <row r="34" spans="1:9" ht="14.25" customHeight="1">
      <c r="A34" s="87" t="s">
        <v>43</v>
      </c>
      <c r="B34" s="88"/>
      <c r="C34" s="88"/>
      <c r="D34" s="88"/>
      <c r="E34" s="88"/>
      <c r="F34" s="89">
        <f>TRUNC(SUM(F30:F33),2)</f>
        <v>202.59</v>
      </c>
    </row>
    <row r="35" spans="1:9" ht="14.25" customHeight="1">
      <c r="A35" s="90"/>
      <c r="B35" s="91" t="s">
        <v>245</v>
      </c>
      <c r="C35" s="92"/>
      <c r="D35" s="92"/>
      <c r="E35" s="92"/>
      <c r="F35" s="93">
        <f>TRUNC((F34/12),2)</f>
        <v>16.88</v>
      </c>
    </row>
    <row r="36" spans="1:9" ht="14.25" customHeight="1"/>
    <row r="37" spans="1:9" ht="14.25" customHeight="1"/>
    <row r="38" spans="1:9" ht="14.25" customHeight="1">
      <c r="A38" s="137" t="s">
        <v>254</v>
      </c>
      <c r="B38" s="119"/>
      <c r="C38" s="119"/>
      <c r="D38" s="119"/>
      <c r="E38" s="119"/>
      <c r="F38" s="120"/>
    </row>
    <row r="39" spans="1:9" ht="14.25" customHeight="1">
      <c r="A39" s="77" t="s">
        <v>236</v>
      </c>
      <c r="B39" s="77" t="s">
        <v>237</v>
      </c>
      <c r="C39" s="77" t="s">
        <v>238</v>
      </c>
      <c r="D39" s="77" t="s">
        <v>239</v>
      </c>
      <c r="E39" s="77" t="s">
        <v>240</v>
      </c>
      <c r="F39" s="77" t="s">
        <v>241</v>
      </c>
    </row>
    <row r="40" spans="1:9" ht="14.25" customHeight="1">
      <c r="A40" s="78">
        <v>1</v>
      </c>
      <c r="B40" s="79" t="s">
        <v>249</v>
      </c>
      <c r="C40" s="80" t="s">
        <v>243</v>
      </c>
      <c r="D40" s="81">
        <v>34.97</v>
      </c>
      <c r="E40" s="80">
        <v>2</v>
      </c>
      <c r="F40" s="82">
        <f t="shared" ref="F40:F42" si="4">TRUNC(E40*D40,2)</f>
        <v>69.94</v>
      </c>
      <c r="G40" s="104"/>
    </row>
    <row r="41" spans="1:9" ht="14.25" customHeight="1">
      <c r="A41" s="100">
        <v>2</v>
      </c>
      <c r="B41" s="101" t="s">
        <v>250</v>
      </c>
      <c r="C41" s="102" t="s">
        <v>243</v>
      </c>
      <c r="D41" s="99">
        <v>35.119999999999997</v>
      </c>
      <c r="E41" s="102">
        <v>2</v>
      </c>
      <c r="F41" s="103">
        <f t="shared" si="4"/>
        <v>70.239999999999995</v>
      </c>
      <c r="G41" s="104"/>
    </row>
    <row r="42" spans="1:9" ht="14.25" customHeight="1">
      <c r="A42" s="78">
        <v>3</v>
      </c>
      <c r="B42" s="79" t="s">
        <v>255</v>
      </c>
      <c r="C42" s="78" t="s">
        <v>256</v>
      </c>
      <c r="D42" s="99">
        <v>62.35</v>
      </c>
      <c r="E42" s="78">
        <v>1</v>
      </c>
      <c r="F42" s="78">
        <f t="shared" si="4"/>
        <v>62.35</v>
      </c>
      <c r="G42" s="104"/>
      <c r="I42" s="1"/>
    </row>
    <row r="43" spans="1:9" ht="14.25" customHeight="1">
      <c r="A43" s="87" t="s">
        <v>43</v>
      </c>
      <c r="B43" s="88"/>
      <c r="C43" s="88"/>
      <c r="D43" s="88"/>
      <c r="E43" s="88"/>
      <c r="F43" s="89">
        <f>TRUNC(SUM(F40:F42),2)</f>
        <v>202.53</v>
      </c>
    </row>
    <row r="44" spans="1:9" ht="14.25" customHeight="1">
      <c r="A44" s="90"/>
      <c r="B44" s="91" t="s">
        <v>245</v>
      </c>
      <c r="C44" s="92"/>
      <c r="D44" s="92"/>
      <c r="E44" s="92"/>
      <c r="F44" s="93">
        <f>TRUNC((F43/12),2)</f>
        <v>16.87</v>
      </c>
    </row>
    <row r="45" spans="1:9" ht="14.25" customHeight="1"/>
    <row r="46" spans="1:9" ht="14.25" customHeight="1"/>
    <row r="47" spans="1:9" ht="14.25" customHeight="1">
      <c r="A47" s="137" t="s">
        <v>257</v>
      </c>
      <c r="B47" s="119"/>
      <c r="C47" s="119"/>
      <c r="D47" s="119"/>
      <c r="E47" s="119"/>
      <c r="F47" s="120"/>
    </row>
    <row r="48" spans="1:9" ht="14.25" customHeight="1">
      <c r="A48" s="77" t="s">
        <v>236</v>
      </c>
      <c r="B48" s="77" t="s">
        <v>237</v>
      </c>
      <c r="C48" s="77" t="s">
        <v>238</v>
      </c>
      <c r="D48" s="77" t="s">
        <v>239</v>
      </c>
      <c r="E48" s="77" t="s">
        <v>240</v>
      </c>
      <c r="F48" s="77" t="s">
        <v>241</v>
      </c>
    </row>
    <row r="49" spans="1:6" ht="14.25" customHeight="1">
      <c r="A49" s="78">
        <v>1</v>
      </c>
      <c r="B49" s="79" t="s">
        <v>258</v>
      </c>
      <c r="C49" s="80" t="s">
        <v>243</v>
      </c>
      <c r="D49" s="105">
        <v>34.04</v>
      </c>
      <c r="E49" s="80">
        <v>2</v>
      </c>
      <c r="F49" s="82">
        <f t="shared" ref="F49:F52" si="5">TRUNC(E49*D49,2)</f>
        <v>68.08</v>
      </c>
    </row>
    <row r="50" spans="1:6" ht="14.25" customHeight="1">
      <c r="A50" s="100">
        <v>2</v>
      </c>
      <c r="B50" s="106" t="s">
        <v>259</v>
      </c>
      <c r="C50" s="102" t="s">
        <v>243</v>
      </c>
      <c r="D50" s="107">
        <v>27.33</v>
      </c>
      <c r="E50" s="102">
        <v>2</v>
      </c>
      <c r="F50" s="103">
        <f t="shared" si="5"/>
        <v>54.66</v>
      </c>
    </row>
    <row r="51" spans="1:6" ht="14.25" customHeight="1">
      <c r="A51" s="78">
        <v>3</v>
      </c>
      <c r="B51" s="108" t="s">
        <v>260</v>
      </c>
      <c r="C51" s="78" t="s">
        <v>256</v>
      </c>
      <c r="D51" s="96">
        <v>75.53</v>
      </c>
      <c r="E51" s="78">
        <v>1</v>
      </c>
      <c r="F51" s="78">
        <f t="shared" si="5"/>
        <v>75.53</v>
      </c>
    </row>
    <row r="52" spans="1:6" ht="14.25" customHeight="1">
      <c r="A52" s="100">
        <v>4</v>
      </c>
      <c r="B52" s="109" t="s">
        <v>261</v>
      </c>
      <c r="C52" s="100" t="s">
        <v>243</v>
      </c>
      <c r="D52" s="99">
        <v>34.33</v>
      </c>
      <c r="E52" s="100">
        <v>2</v>
      </c>
      <c r="F52" s="103">
        <f t="shared" si="5"/>
        <v>68.66</v>
      </c>
    </row>
    <row r="53" spans="1:6" ht="14.25" customHeight="1">
      <c r="A53" s="87" t="s">
        <v>43</v>
      </c>
      <c r="B53" s="88"/>
      <c r="C53" s="88"/>
      <c r="D53" s="88"/>
      <c r="E53" s="88"/>
      <c r="F53" s="89">
        <f>TRUNC(SUM(F49:F52),2)</f>
        <v>266.93</v>
      </c>
    </row>
    <row r="54" spans="1:6" ht="14.25" customHeight="1">
      <c r="A54" s="90"/>
      <c r="B54" s="91" t="s">
        <v>245</v>
      </c>
      <c r="C54" s="92"/>
      <c r="D54" s="92"/>
      <c r="E54" s="92"/>
      <c r="F54" s="93">
        <f>TRUNC((F53/12),2)</f>
        <v>22.24</v>
      </c>
    </row>
    <row r="55" spans="1:6" ht="14.25" customHeight="1">
      <c r="F55" s="12"/>
    </row>
    <row r="56" spans="1:6" ht="14.25" customHeight="1"/>
    <row r="57" spans="1:6" ht="14.25" customHeight="1"/>
    <row r="58" spans="1:6" ht="14.25" customHeight="1"/>
    <row r="59" spans="1:6" ht="14.25" customHeight="1"/>
    <row r="60" spans="1:6" ht="14.25" customHeight="1"/>
    <row r="61" spans="1:6" ht="14.25" customHeight="1"/>
    <row r="62" spans="1:6" ht="14.25" customHeight="1"/>
    <row r="63" spans="1:6" ht="14.25" customHeight="1"/>
    <row r="64" spans="1: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47:F47"/>
    <mergeCell ref="A1:F1"/>
    <mergeCell ref="A9:F9"/>
    <mergeCell ref="A18:F18"/>
    <mergeCell ref="A28:F28"/>
    <mergeCell ref="A38:F38"/>
  </mergeCells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01"/>
  <sheetViews>
    <sheetView tabSelected="1" workbookViewId="0">
      <selection sqref="A1:H1"/>
    </sheetView>
  </sheetViews>
  <sheetFormatPr defaultColWidth="12.6640625" defaultRowHeight="15" customHeight="1"/>
  <cols>
    <col min="1" max="1" width="4" customWidth="1"/>
    <col min="2" max="2" width="46.5" customWidth="1"/>
    <col min="3" max="3" width="9.25" customWidth="1"/>
    <col min="4" max="4" width="7.9140625" customWidth="1"/>
    <col min="5" max="5" width="23.5" customWidth="1"/>
    <col min="6" max="6" width="17.1640625" customWidth="1"/>
    <col min="7" max="7" width="16.5" customWidth="1"/>
    <col min="8" max="8" width="13.1640625" customWidth="1"/>
    <col min="9" max="26" width="7.9140625" customWidth="1"/>
  </cols>
  <sheetData>
    <row r="1" spans="1:8" ht="14.25" customHeight="1">
      <c r="A1" s="123" t="s">
        <v>173</v>
      </c>
      <c r="B1" s="124"/>
      <c r="C1" s="124"/>
      <c r="D1" s="124"/>
      <c r="E1" s="124"/>
      <c r="F1" s="124"/>
      <c r="G1" s="124"/>
      <c r="H1" s="124"/>
    </row>
    <row r="2" spans="1:8" ht="14.25" customHeight="1">
      <c r="A2" s="125" t="s">
        <v>174</v>
      </c>
      <c r="B2" s="126"/>
      <c r="C2" s="126"/>
      <c r="D2" s="126"/>
      <c r="E2" s="126"/>
      <c r="F2" s="126"/>
      <c r="G2" s="126"/>
      <c r="H2" s="127"/>
    </row>
    <row r="3" spans="1:8" ht="14.25" customHeight="1">
      <c r="A3" s="29" t="s">
        <v>2</v>
      </c>
      <c r="B3" s="29" t="s">
        <v>3</v>
      </c>
      <c r="C3" s="29" t="s">
        <v>175</v>
      </c>
      <c r="D3" s="29" t="s">
        <v>176</v>
      </c>
      <c r="E3" s="29" t="s">
        <v>177</v>
      </c>
      <c r="F3" s="29" t="s">
        <v>178</v>
      </c>
      <c r="G3" s="29" t="s">
        <v>179</v>
      </c>
      <c r="H3" s="29" t="s">
        <v>180</v>
      </c>
    </row>
    <row r="4" spans="1:8" ht="14.25" customHeight="1">
      <c r="A4" s="30">
        <v>1</v>
      </c>
      <c r="B4" s="30" t="s">
        <v>181</v>
      </c>
      <c r="C4" s="31">
        <v>2</v>
      </c>
      <c r="D4" s="31" t="s">
        <v>182</v>
      </c>
      <c r="E4" s="32">
        <v>1100</v>
      </c>
      <c r="F4" s="33">
        <v>2813.3</v>
      </c>
      <c r="G4" s="33">
        <f t="shared" ref="G4:G13" si="0">F4*12</f>
        <v>33759.600000000006</v>
      </c>
      <c r="H4" s="33">
        <f t="shared" ref="H4:H13" si="1">G4*C4</f>
        <v>67519.200000000012</v>
      </c>
    </row>
    <row r="5" spans="1:8" ht="14.25" customHeight="1">
      <c r="A5" s="30">
        <v>2</v>
      </c>
      <c r="B5" s="30" t="s">
        <v>183</v>
      </c>
      <c r="C5" s="31">
        <v>2</v>
      </c>
      <c r="D5" s="31" t="s">
        <v>184</v>
      </c>
      <c r="E5" s="32">
        <v>1100</v>
      </c>
      <c r="F5" s="33">
        <v>2682.17</v>
      </c>
      <c r="G5" s="33">
        <f t="shared" si="0"/>
        <v>32186.04</v>
      </c>
      <c r="H5" s="33">
        <f t="shared" si="1"/>
        <v>64372.08</v>
      </c>
    </row>
    <row r="6" spans="1:8" ht="14.25" customHeight="1">
      <c r="A6" s="30">
        <v>3</v>
      </c>
      <c r="B6" s="30" t="s">
        <v>185</v>
      </c>
      <c r="C6" s="31">
        <v>30</v>
      </c>
      <c r="D6" s="31">
        <v>4221</v>
      </c>
      <c r="E6" s="32">
        <v>1100</v>
      </c>
      <c r="F6" s="33">
        <v>2682.17</v>
      </c>
      <c r="G6" s="33">
        <f t="shared" si="0"/>
        <v>32186.04</v>
      </c>
      <c r="H6" s="33">
        <f t="shared" si="1"/>
        <v>965581.20000000007</v>
      </c>
    </row>
    <row r="7" spans="1:8" ht="14.25" customHeight="1">
      <c r="A7" s="30">
        <v>4</v>
      </c>
      <c r="B7" s="30" t="s">
        <v>186</v>
      </c>
      <c r="C7" s="31">
        <v>1</v>
      </c>
      <c r="D7" s="31" t="s">
        <v>187</v>
      </c>
      <c r="E7" s="32">
        <v>1100</v>
      </c>
      <c r="F7" s="33">
        <v>2682.17</v>
      </c>
      <c r="G7" s="33">
        <f t="shared" si="0"/>
        <v>32186.04</v>
      </c>
      <c r="H7" s="33">
        <f t="shared" si="1"/>
        <v>32186.04</v>
      </c>
    </row>
    <row r="8" spans="1:8" ht="14.25" customHeight="1">
      <c r="A8" s="30">
        <v>5</v>
      </c>
      <c r="B8" s="30" t="s">
        <v>188</v>
      </c>
      <c r="C8" s="31">
        <v>3</v>
      </c>
      <c r="D8" s="31" t="s">
        <v>189</v>
      </c>
      <c r="E8" s="32">
        <v>1100</v>
      </c>
      <c r="F8" s="33">
        <v>2685.8</v>
      </c>
      <c r="G8" s="33">
        <f t="shared" si="0"/>
        <v>32229.600000000002</v>
      </c>
      <c r="H8" s="33">
        <f t="shared" si="1"/>
        <v>96688.8</v>
      </c>
    </row>
    <row r="9" spans="1:8" ht="14.25" customHeight="1">
      <c r="A9" s="30">
        <v>6</v>
      </c>
      <c r="B9" s="30" t="s">
        <v>190</v>
      </c>
      <c r="C9" s="31">
        <v>3</v>
      </c>
      <c r="D9" s="31" t="s">
        <v>191</v>
      </c>
      <c r="E9" s="32">
        <v>1100</v>
      </c>
      <c r="F9" s="33">
        <v>2682.17</v>
      </c>
      <c r="G9" s="33">
        <f t="shared" si="0"/>
        <v>32186.04</v>
      </c>
      <c r="H9" s="33">
        <f t="shared" si="1"/>
        <v>96558.12</v>
      </c>
    </row>
    <row r="10" spans="1:8" ht="14.25" customHeight="1">
      <c r="A10" s="30">
        <v>7</v>
      </c>
      <c r="B10" s="30" t="s">
        <v>192</v>
      </c>
      <c r="C10" s="31">
        <v>2</v>
      </c>
      <c r="D10" s="31" t="s">
        <v>193</v>
      </c>
      <c r="E10" s="32">
        <v>1100</v>
      </c>
      <c r="F10" s="33">
        <v>2689.67</v>
      </c>
      <c r="G10" s="33">
        <f t="shared" si="0"/>
        <v>32276.04</v>
      </c>
      <c r="H10" s="33">
        <f t="shared" si="1"/>
        <v>64552.08</v>
      </c>
    </row>
    <row r="11" spans="1:8" ht="14.25" customHeight="1">
      <c r="A11" s="30">
        <v>8</v>
      </c>
      <c r="B11" s="30" t="s">
        <v>194</v>
      </c>
      <c r="C11" s="31">
        <v>3</v>
      </c>
      <c r="D11" s="31">
        <v>5143</v>
      </c>
      <c r="E11" s="32">
        <v>1456.03</v>
      </c>
      <c r="F11" s="33">
        <v>3372.77</v>
      </c>
      <c r="G11" s="33">
        <f t="shared" si="0"/>
        <v>40473.24</v>
      </c>
      <c r="H11" s="33">
        <f t="shared" si="1"/>
        <v>121419.72</v>
      </c>
    </row>
    <row r="12" spans="1:8" ht="14.25" customHeight="1">
      <c r="A12" s="30">
        <v>9</v>
      </c>
      <c r="B12" s="30" t="s">
        <v>195</v>
      </c>
      <c r="C12" s="31">
        <v>1</v>
      </c>
      <c r="D12" s="31" t="s">
        <v>196</v>
      </c>
      <c r="E12" s="32">
        <v>1456.03</v>
      </c>
      <c r="F12" s="33">
        <v>4161.92</v>
      </c>
      <c r="G12" s="33">
        <f t="shared" si="0"/>
        <v>49943.040000000001</v>
      </c>
      <c r="H12" s="33">
        <f t="shared" si="1"/>
        <v>49943.040000000001</v>
      </c>
    </row>
    <row r="13" spans="1:8" ht="14.25" customHeight="1">
      <c r="A13" s="30">
        <v>10</v>
      </c>
      <c r="B13" s="30" t="s">
        <v>197</v>
      </c>
      <c r="C13" s="31">
        <v>1</v>
      </c>
      <c r="D13" s="31" t="s">
        <v>198</v>
      </c>
      <c r="E13" s="32">
        <v>1370.97</v>
      </c>
      <c r="F13" s="34">
        <v>3739.47</v>
      </c>
      <c r="G13" s="33">
        <f t="shared" si="0"/>
        <v>44873.64</v>
      </c>
      <c r="H13" s="33">
        <f t="shared" si="1"/>
        <v>44873.64</v>
      </c>
    </row>
    <row r="14" spans="1:8" ht="14.25" customHeight="1">
      <c r="A14" s="125" t="s">
        <v>199</v>
      </c>
      <c r="B14" s="126"/>
      <c r="C14" s="126"/>
      <c r="D14" s="126"/>
      <c r="E14" s="126"/>
      <c r="F14" s="126"/>
      <c r="G14" s="127"/>
      <c r="H14" s="35">
        <f>SUM(H4:H13)</f>
        <v>1603693.92</v>
      </c>
    </row>
    <row r="15" spans="1:8" ht="14.25" customHeight="1"/>
    <row r="16" spans="1:8" ht="14.25" customHeight="1">
      <c r="B16" s="36" t="s">
        <v>200</v>
      </c>
    </row>
    <row r="17" spans="1:8" ht="14.25" customHeight="1">
      <c r="B17" s="36" t="s">
        <v>201</v>
      </c>
    </row>
    <row r="18" spans="1:8" ht="14.25" customHeight="1">
      <c r="B18" s="36" t="s">
        <v>202</v>
      </c>
    </row>
    <row r="19" spans="1:8" ht="14.25" customHeight="1"/>
    <row r="20" spans="1:8" ht="14.25" customHeight="1"/>
    <row r="21" spans="1:8" ht="14.25" customHeight="1">
      <c r="A21" s="123" t="s">
        <v>203</v>
      </c>
      <c r="B21" s="124"/>
      <c r="C21" s="124"/>
      <c r="D21" s="124"/>
      <c r="E21" s="124"/>
      <c r="F21" s="124"/>
      <c r="G21" s="124"/>
      <c r="H21" s="124"/>
    </row>
    <row r="22" spans="1:8" ht="14.25" customHeight="1">
      <c r="A22" s="128" t="s">
        <v>174</v>
      </c>
      <c r="B22" s="126"/>
      <c r="C22" s="126"/>
      <c r="D22" s="126"/>
      <c r="E22" s="126"/>
      <c r="F22" s="126"/>
      <c r="G22" s="126"/>
      <c r="H22" s="127"/>
    </row>
    <row r="23" spans="1:8" ht="14.25" customHeight="1">
      <c r="A23" s="37" t="s">
        <v>2</v>
      </c>
      <c r="B23" s="38" t="s">
        <v>3</v>
      </c>
      <c r="C23" s="38" t="s">
        <v>175</v>
      </c>
      <c r="D23" s="38" t="s">
        <v>176</v>
      </c>
      <c r="E23" s="38" t="s">
        <v>177</v>
      </c>
      <c r="F23" s="38" t="s">
        <v>178</v>
      </c>
      <c r="G23" s="38" t="s">
        <v>179</v>
      </c>
      <c r="H23" s="38" t="s">
        <v>180</v>
      </c>
    </row>
    <row r="24" spans="1:8" ht="14.25" customHeight="1">
      <c r="A24" s="39">
        <v>11</v>
      </c>
      <c r="B24" s="40" t="s">
        <v>185</v>
      </c>
      <c r="C24" s="41">
        <v>2</v>
      </c>
      <c r="D24" s="41">
        <v>4221</v>
      </c>
      <c r="E24" s="41" t="s">
        <v>204</v>
      </c>
      <c r="F24" s="33">
        <v>2682.17</v>
      </c>
      <c r="G24" s="33">
        <f t="shared" ref="G24:G25" si="2">F24*12</f>
        <v>32186.04</v>
      </c>
      <c r="H24" s="33">
        <f t="shared" ref="H24:H25" si="3">G24*C24</f>
        <v>64372.08</v>
      </c>
    </row>
    <row r="25" spans="1:8" ht="14.25" customHeight="1">
      <c r="A25" s="39">
        <v>12</v>
      </c>
      <c r="B25" s="40" t="s">
        <v>188</v>
      </c>
      <c r="C25" s="41">
        <v>1</v>
      </c>
      <c r="D25" s="41" t="s">
        <v>189</v>
      </c>
      <c r="E25" s="41" t="s">
        <v>204</v>
      </c>
      <c r="F25" s="33">
        <v>2685.8</v>
      </c>
      <c r="G25" s="33">
        <f t="shared" si="2"/>
        <v>32229.600000000002</v>
      </c>
      <c r="H25" s="33">
        <f t="shared" si="3"/>
        <v>32229.600000000002</v>
      </c>
    </row>
    <row r="26" spans="1:8" ht="14.25" customHeight="1">
      <c r="A26" s="128" t="s">
        <v>199</v>
      </c>
      <c r="B26" s="126"/>
      <c r="C26" s="126"/>
      <c r="D26" s="126"/>
      <c r="E26" s="126"/>
      <c r="F26" s="126"/>
      <c r="G26" s="127"/>
      <c r="H26" s="42">
        <f>SUM(H24:H25)</f>
        <v>96601.680000000008</v>
      </c>
    </row>
    <row r="27" spans="1:8" ht="14.25" customHeight="1">
      <c r="A27" s="43"/>
      <c r="B27" s="43"/>
      <c r="C27" s="43"/>
      <c r="D27" s="43"/>
      <c r="E27" s="43"/>
      <c r="F27" s="43"/>
      <c r="G27" s="43"/>
      <c r="H27" s="43"/>
    </row>
    <row r="28" spans="1:8" ht="14.25" customHeight="1">
      <c r="A28" s="43"/>
      <c r="B28" s="44" t="s">
        <v>205</v>
      </c>
      <c r="C28" s="43"/>
      <c r="D28" s="43"/>
      <c r="E28" s="43"/>
      <c r="F28" s="43"/>
      <c r="G28" s="43"/>
      <c r="H28" s="43"/>
    </row>
    <row r="29" spans="1:8" ht="14.25" customHeight="1"/>
    <row r="30" spans="1:8" ht="14.25" customHeight="1"/>
    <row r="31" spans="1:8" ht="14.25" customHeight="1"/>
    <row r="32" spans="1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6">
    <mergeCell ref="A26:G26"/>
    <mergeCell ref="A1:H1"/>
    <mergeCell ref="A2:H2"/>
    <mergeCell ref="A14:G14"/>
    <mergeCell ref="A21:H21"/>
    <mergeCell ref="A22:H22"/>
  </mergeCells>
  <printOptions horizontalCentered="1"/>
  <pageMargins left="0.25" right="0.25" top="0.75" bottom="0.75" header="0" footer="0"/>
  <pageSetup paperSize="9" scale="9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000"/>
  <sheetViews>
    <sheetView topLeftCell="A115" workbookViewId="0">
      <selection activeCell="F123" sqref="F123"/>
    </sheetView>
  </sheetViews>
  <sheetFormatPr defaultColWidth="12.6640625" defaultRowHeight="15" customHeight="1"/>
  <cols>
    <col min="1" max="1" width="11.5" customWidth="1"/>
    <col min="2" max="2" width="49.1640625" customWidth="1"/>
    <col min="3" max="3" width="24.25" customWidth="1"/>
    <col min="4" max="4" width="18.1640625" customWidth="1"/>
    <col min="5" max="5" width="18.1640625" style="138" customWidth="1"/>
    <col min="6" max="6" width="25.6640625" customWidth="1"/>
    <col min="7" max="7" width="10" customWidth="1"/>
    <col min="8" max="26" width="8" customWidth="1"/>
  </cols>
  <sheetData>
    <row r="1" spans="1:7" ht="14.25" customHeight="1">
      <c r="A1" s="110" t="s">
        <v>0</v>
      </c>
      <c r="B1" s="111"/>
      <c r="C1" s="111"/>
      <c r="D1" s="112"/>
      <c r="E1" s="143"/>
      <c r="F1" s="113" t="s">
        <v>1</v>
      </c>
      <c r="G1" s="114"/>
    </row>
    <row r="2" spans="1:7" ht="14.25" customHeight="1">
      <c r="A2" s="2" t="s">
        <v>2</v>
      </c>
      <c r="B2" s="3" t="s">
        <v>3</v>
      </c>
      <c r="C2" s="2" t="s">
        <v>4</v>
      </c>
      <c r="D2" s="2" t="s">
        <v>5</v>
      </c>
      <c r="E2" s="142"/>
      <c r="F2" s="18" t="s">
        <v>3</v>
      </c>
      <c r="G2" s="18" t="s">
        <v>5</v>
      </c>
    </row>
    <row r="3" spans="1:7" ht="14.25" customHeight="1">
      <c r="A3" s="2">
        <v>1</v>
      </c>
      <c r="B3" s="3" t="s">
        <v>6</v>
      </c>
      <c r="C3" s="2"/>
      <c r="D3" s="2" t="s">
        <v>206</v>
      </c>
      <c r="E3" s="142"/>
      <c r="F3" s="3" t="s">
        <v>8</v>
      </c>
      <c r="G3" s="45">
        <v>4.1500000000000004</v>
      </c>
    </row>
    <row r="4" spans="1:7" ht="14.25" customHeight="1">
      <c r="A4" s="2">
        <v>2</v>
      </c>
      <c r="B4" s="3" t="s">
        <v>9</v>
      </c>
      <c r="C4" s="2"/>
      <c r="D4" s="2" t="s">
        <v>182</v>
      </c>
      <c r="E4" s="142"/>
      <c r="F4" s="3" t="s">
        <v>11</v>
      </c>
      <c r="G4" s="45">
        <v>16</v>
      </c>
    </row>
    <row r="5" spans="1:7" ht="14.25" customHeight="1">
      <c r="A5" s="2">
        <v>3</v>
      </c>
      <c r="B5" s="3" t="s">
        <v>12</v>
      </c>
      <c r="C5" s="2" t="s">
        <v>207</v>
      </c>
      <c r="D5" s="46">
        <v>1100</v>
      </c>
      <c r="E5" s="144"/>
      <c r="F5" s="3" t="s">
        <v>14</v>
      </c>
      <c r="G5" s="47">
        <v>22</v>
      </c>
    </row>
    <row r="6" spans="1:7" ht="14.25" customHeight="1">
      <c r="A6" s="2">
        <v>4</v>
      </c>
      <c r="B6" s="3" t="s">
        <v>15</v>
      </c>
      <c r="C6" s="2" t="s">
        <v>208</v>
      </c>
      <c r="D6" s="2"/>
      <c r="E6" s="142"/>
      <c r="F6" s="3" t="s">
        <v>17</v>
      </c>
      <c r="G6" s="48">
        <v>0.06</v>
      </c>
    </row>
    <row r="7" spans="1:7" ht="14.25" customHeight="1">
      <c r="A7" s="2">
        <v>5</v>
      </c>
      <c r="B7" s="3" t="s">
        <v>18</v>
      </c>
      <c r="C7" s="2"/>
      <c r="D7" s="2" t="s">
        <v>19</v>
      </c>
      <c r="E7" s="142"/>
      <c r="F7" s="3" t="s">
        <v>209</v>
      </c>
      <c r="G7" s="49">
        <v>2</v>
      </c>
    </row>
    <row r="8" spans="1:7" ht="14.25" customHeight="1">
      <c r="F8" s="1"/>
      <c r="G8" s="50"/>
    </row>
    <row r="9" spans="1:7" ht="14.25" customHeight="1">
      <c r="A9" s="115" t="s">
        <v>21</v>
      </c>
      <c r="B9" s="116"/>
      <c r="C9" s="116"/>
      <c r="D9" s="117"/>
      <c r="E9" s="143"/>
      <c r="F9" s="1"/>
      <c r="G9" s="50"/>
    </row>
    <row r="10" spans="1:7" ht="14.25" customHeight="1">
      <c r="A10" s="2" t="s">
        <v>24</v>
      </c>
      <c r="B10" s="3" t="s">
        <v>25</v>
      </c>
      <c r="C10" s="2" t="s">
        <v>4</v>
      </c>
      <c r="D10" s="2" t="s">
        <v>5</v>
      </c>
      <c r="E10" s="142"/>
      <c r="F10" s="1"/>
      <c r="G10" s="50"/>
    </row>
    <row r="11" spans="1:7" ht="14.25" customHeight="1">
      <c r="A11" s="2" t="s">
        <v>27</v>
      </c>
      <c r="B11" s="3" t="s">
        <v>28</v>
      </c>
      <c r="C11" s="2"/>
      <c r="D11" s="9">
        <f>D5</f>
        <v>1100</v>
      </c>
      <c r="E11" s="145"/>
      <c r="F11" s="1"/>
      <c r="G11" s="50"/>
    </row>
    <row r="12" spans="1:7" ht="14.25" customHeight="1">
      <c r="A12" s="2" t="s">
        <v>30</v>
      </c>
      <c r="B12" s="3" t="s">
        <v>31</v>
      </c>
      <c r="C12" s="2"/>
      <c r="D12" s="9"/>
      <c r="E12" s="145"/>
      <c r="F12" s="1"/>
      <c r="G12" s="50"/>
    </row>
    <row r="13" spans="1:7" ht="14.25" customHeight="1">
      <c r="A13" s="2" t="s">
        <v>33</v>
      </c>
      <c r="B13" s="3" t="s">
        <v>34</v>
      </c>
      <c r="C13" s="2"/>
      <c r="D13" s="9"/>
      <c r="E13" s="145"/>
      <c r="F13" s="1"/>
      <c r="G13" s="50"/>
    </row>
    <row r="14" spans="1:7" ht="14.25" customHeight="1">
      <c r="A14" s="2" t="s">
        <v>35</v>
      </c>
      <c r="B14" s="3" t="s">
        <v>36</v>
      </c>
      <c r="C14" s="2"/>
      <c r="D14" s="9"/>
      <c r="E14" s="145"/>
      <c r="F14" s="1"/>
      <c r="G14" s="50"/>
    </row>
    <row r="15" spans="1:7" ht="14.25" customHeight="1">
      <c r="A15" s="2" t="s">
        <v>38</v>
      </c>
      <c r="B15" s="3" t="s">
        <v>39</v>
      </c>
      <c r="C15" s="2"/>
      <c r="D15" s="9"/>
      <c r="E15" s="145"/>
      <c r="F15" s="1"/>
      <c r="G15" s="50"/>
    </row>
    <row r="16" spans="1:7" ht="14.25" customHeight="1">
      <c r="A16" s="2" t="s">
        <v>40</v>
      </c>
      <c r="B16" s="3" t="s">
        <v>210</v>
      </c>
      <c r="C16" s="6" t="s">
        <v>208</v>
      </c>
      <c r="D16" s="9">
        <f>D11*6%</f>
        <v>66</v>
      </c>
      <c r="E16" s="145"/>
      <c r="F16" s="1"/>
      <c r="G16" s="50"/>
    </row>
    <row r="17" spans="1:7" ht="14.25" customHeight="1">
      <c r="A17" s="2" t="s">
        <v>43</v>
      </c>
      <c r="B17" s="3"/>
      <c r="C17" s="2"/>
      <c r="D17" s="9">
        <f>TRUNC(SUM(D11:D16),2)</f>
        <v>1166</v>
      </c>
      <c r="E17" s="145"/>
      <c r="F17" s="1"/>
      <c r="G17" s="50"/>
    </row>
    <row r="18" spans="1:7" ht="14.25" customHeight="1">
      <c r="F18" s="1"/>
      <c r="G18" s="50"/>
    </row>
    <row r="19" spans="1:7" ht="14.25" customHeight="1">
      <c r="A19" s="118" t="s">
        <v>46</v>
      </c>
      <c r="B19" s="119"/>
      <c r="C19" s="119"/>
      <c r="D19" s="120"/>
      <c r="E19" s="143"/>
      <c r="F19" s="1"/>
      <c r="G19" s="50"/>
    </row>
    <row r="20" spans="1:7" ht="14.25" customHeight="1">
      <c r="A20" s="113" t="s">
        <v>48</v>
      </c>
      <c r="B20" s="114"/>
      <c r="C20" s="114"/>
      <c r="D20" s="114"/>
      <c r="F20" s="1"/>
      <c r="G20" s="50"/>
    </row>
    <row r="21" spans="1:7" ht="14.25" customHeight="1">
      <c r="A21" s="2" t="s">
        <v>50</v>
      </c>
      <c r="B21" s="3" t="s">
        <v>51</v>
      </c>
      <c r="C21" s="2" t="s">
        <v>4</v>
      </c>
      <c r="D21" s="2" t="s">
        <v>5</v>
      </c>
      <c r="E21" s="142"/>
      <c r="F21" s="1"/>
      <c r="G21" s="50"/>
    </row>
    <row r="22" spans="1:7" ht="14.25" customHeight="1">
      <c r="A22" s="2" t="s">
        <v>27</v>
      </c>
      <c r="B22" s="3" t="s">
        <v>52</v>
      </c>
      <c r="C22" s="51">
        <f>(1/12)</f>
        <v>8.3333333333333329E-2</v>
      </c>
      <c r="D22" s="9">
        <f t="shared" ref="D22:D23" si="0">TRUNC($D$17*C22,2)</f>
        <v>97.16</v>
      </c>
      <c r="E22" s="145"/>
      <c r="F22" s="1"/>
      <c r="G22" s="50"/>
    </row>
    <row r="23" spans="1:7" ht="14.25" customHeight="1">
      <c r="A23" s="2" t="s">
        <v>30</v>
      </c>
      <c r="B23" s="3" t="s">
        <v>54</v>
      </c>
      <c r="C23" s="51">
        <f>(((1+1/3)/12))</f>
        <v>0.1111111111111111</v>
      </c>
      <c r="D23" s="9">
        <f t="shared" si="0"/>
        <v>129.55000000000001</v>
      </c>
      <c r="E23" s="145"/>
      <c r="F23" s="1"/>
      <c r="G23" s="50"/>
    </row>
    <row r="24" spans="1:7" ht="14.25" customHeight="1">
      <c r="A24" s="2" t="s">
        <v>43</v>
      </c>
      <c r="B24" s="3"/>
      <c r="C24" s="3"/>
      <c r="D24" s="9">
        <f>TRUNC(SUM(D22:D23),2)</f>
        <v>226.71</v>
      </c>
      <c r="E24" s="145"/>
      <c r="F24" s="1"/>
      <c r="G24" s="50"/>
    </row>
    <row r="25" spans="1:7" ht="14.25" customHeight="1" thickBot="1">
      <c r="A25" s="14"/>
      <c r="D25" s="15"/>
      <c r="E25" s="145"/>
      <c r="F25" s="1"/>
      <c r="G25" s="50"/>
    </row>
    <row r="26" spans="1:7" ht="14.25" customHeight="1" thickTop="1" thickBot="1">
      <c r="A26" s="129" t="s">
        <v>211</v>
      </c>
      <c r="B26" s="130"/>
      <c r="C26" s="52" t="s">
        <v>212</v>
      </c>
      <c r="D26" s="53">
        <f>D17</f>
        <v>1166</v>
      </c>
      <c r="E26" s="146"/>
      <c r="F26" s="1"/>
      <c r="G26" s="1"/>
    </row>
    <row r="27" spans="1:7" ht="14.25" customHeight="1" thickTop="1" thickBot="1">
      <c r="A27" s="131"/>
      <c r="B27" s="132"/>
      <c r="C27" s="54" t="s">
        <v>213</v>
      </c>
      <c r="D27" s="53">
        <f>D24</f>
        <v>226.71</v>
      </c>
      <c r="E27" s="146"/>
      <c r="F27" s="1"/>
      <c r="G27" s="1"/>
    </row>
    <row r="28" spans="1:7" ht="14.25" customHeight="1" thickTop="1" thickBot="1">
      <c r="A28" s="133"/>
      <c r="B28" s="134"/>
      <c r="C28" s="52" t="s">
        <v>199</v>
      </c>
      <c r="D28" s="55">
        <f>TRUNC(SUM(D26:D27),2)</f>
        <v>1392.71</v>
      </c>
      <c r="E28" s="147"/>
      <c r="F28" s="1"/>
      <c r="G28" s="1"/>
    </row>
    <row r="29" spans="1:7" ht="14.25" customHeight="1" thickTop="1">
      <c r="A29" s="14"/>
      <c r="B29" s="14"/>
      <c r="C29" s="22"/>
      <c r="F29" s="1"/>
      <c r="G29" s="1"/>
    </row>
    <row r="30" spans="1:7" ht="14.25" customHeight="1">
      <c r="A30" s="113" t="s">
        <v>65</v>
      </c>
      <c r="B30" s="114"/>
      <c r="C30" s="114"/>
      <c r="D30" s="114"/>
    </row>
    <row r="31" spans="1:7" ht="14.25" customHeight="1">
      <c r="A31" s="2" t="s">
        <v>66</v>
      </c>
      <c r="B31" s="3" t="s">
        <v>67</v>
      </c>
      <c r="C31" s="2" t="s">
        <v>23</v>
      </c>
      <c r="D31" s="2" t="s">
        <v>68</v>
      </c>
      <c r="E31" s="142"/>
    </row>
    <row r="32" spans="1:7" ht="14.25" customHeight="1">
      <c r="A32" s="2" t="s">
        <v>27</v>
      </c>
      <c r="B32" s="3" t="s">
        <v>69</v>
      </c>
      <c r="C32" s="23">
        <v>0.2</v>
      </c>
      <c r="D32" s="9">
        <f t="shared" ref="D32:D39" si="1">TRUNC(($D$28*C32),2)</f>
        <v>278.54000000000002</v>
      </c>
      <c r="E32" s="145"/>
    </row>
    <row r="33" spans="1:6" ht="14.25" customHeight="1">
      <c r="A33" s="2" t="s">
        <v>30</v>
      </c>
      <c r="B33" s="3" t="s">
        <v>70</v>
      </c>
      <c r="C33" s="23">
        <v>2.5000000000000001E-2</v>
      </c>
      <c r="D33" s="9">
        <f t="shared" si="1"/>
        <v>34.81</v>
      </c>
      <c r="E33" s="145"/>
    </row>
    <row r="34" spans="1:6" ht="14.25" customHeight="1">
      <c r="A34" s="2" t="s">
        <v>33</v>
      </c>
      <c r="B34" s="3" t="s">
        <v>71</v>
      </c>
      <c r="C34" s="56">
        <v>0.06</v>
      </c>
      <c r="D34" s="57">
        <f t="shared" si="1"/>
        <v>83.56</v>
      </c>
      <c r="E34" s="148"/>
    </row>
    <row r="35" spans="1:6" ht="14.25" customHeight="1">
      <c r="A35" s="2" t="s">
        <v>35</v>
      </c>
      <c r="B35" s="3" t="s">
        <v>72</v>
      </c>
      <c r="C35" s="23">
        <v>1.4999999999999999E-2</v>
      </c>
      <c r="D35" s="9">
        <f t="shared" si="1"/>
        <v>20.89</v>
      </c>
      <c r="E35" s="145"/>
    </row>
    <row r="36" spans="1:6" ht="14.25" customHeight="1">
      <c r="A36" s="2" t="s">
        <v>38</v>
      </c>
      <c r="B36" s="3" t="s">
        <v>73</v>
      </c>
      <c r="C36" s="23">
        <v>0.01</v>
      </c>
      <c r="D36" s="9">
        <f t="shared" si="1"/>
        <v>13.92</v>
      </c>
      <c r="E36" s="145"/>
    </row>
    <row r="37" spans="1:6" ht="14.25" customHeight="1">
      <c r="A37" s="2" t="s">
        <v>40</v>
      </c>
      <c r="B37" s="3" t="s">
        <v>74</v>
      </c>
      <c r="C37" s="23">
        <v>6.0000000000000001E-3</v>
      </c>
      <c r="D37" s="9">
        <f t="shared" si="1"/>
        <v>8.35</v>
      </c>
      <c r="E37" s="145"/>
    </row>
    <row r="38" spans="1:6" ht="14.25" customHeight="1">
      <c r="A38" s="2" t="s">
        <v>75</v>
      </c>
      <c r="B38" s="3" t="s">
        <v>76</v>
      </c>
      <c r="C38" s="23">
        <v>2E-3</v>
      </c>
      <c r="D38" s="9">
        <f t="shared" si="1"/>
        <v>2.78</v>
      </c>
      <c r="E38" s="145"/>
    </row>
    <row r="39" spans="1:6" ht="14.25" customHeight="1">
      <c r="A39" s="2" t="s">
        <v>77</v>
      </c>
      <c r="B39" s="3" t="s">
        <v>78</v>
      </c>
      <c r="C39" s="23">
        <v>0.08</v>
      </c>
      <c r="D39" s="9">
        <f t="shared" si="1"/>
        <v>111.41</v>
      </c>
      <c r="E39" s="145"/>
    </row>
    <row r="40" spans="1:6" ht="14.25" customHeight="1">
      <c r="A40" s="2" t="s">
        <v>43</v>
      </c>
      <c r="B40" s="3"/>
      <c r="C40" s="23">
        <f>SUBTOTAL(109,'Monitor de Sistemas Eletrônicos'!$C$32:$C$39)</f>
        <v>0.39800000000000008</v>
      </c>
      <c r="D40" s="9">
        <f>TRUNC(SUM(D32:D39),2)</f>
        <v>554.26</v>
      </c>
      <c r="E40" s="145"/>
    </row>
    <row r="41" spans="1:6" ht="14.25" customHeight="1">
      <c r="A41" s="14"/>
      <c r="C41" s="24"/>
      <c r="D41" s="15"/>
      <c r="E41" s="145"/>
    </row>
    <row r="42" spans="1:6" ht="14.25" customHeight="1">
      <c r="A42" s="113" t="s">
        <v>83</v>
      </c>
      <c r="B42" s="114"/>
      <c r="C42" s="114"/>
      <c r="D42" s="114"/>
    </row>
    <row r="43" spans="1:6" ht="14.25" customHeight="1">
      <c r="A43" s="2" t="s">
        <v>84</v>
      </c>
      <c r="B43" s="3" t="s">
        <v>85</v>
      </c>
      <c r="C43" s="2" t="s">
        <v>4</v>
      </c>
      <c r="D43" s="2" t="s">
        <v>5</v>
      </c>
      <c r="E43" s="142"/>
    </row>
    <row r="44" spans="1:6" ht="14.25" customHeight="1">
      <c r="A44" s="2" t="s">
        <v>27</v>
      </c>
      <c r="B44" s="3" t="s">
        <v>86</v>
      </c>
      <c r="C44" s="3"/>
      <c r="D44" s="57">
        <f>TRUNC(((G5*G3)*2)-((D5/100)*6),2)</f>
        <v>116.6</v>
      </c>
      <c r="E44" s="148"/>
    </row>
    <row r="45" spans="1:6" ht="14.25" customHeight="1">
      <c r="A45" s="2" t="s">
        <v>30</v>
      </c>
      <c r="B45" s="3" t="s">
        <v>87</v>
      </c>
      <c r="C45" s="3"/>
      <c r="D45" s="57">
        <f>TRUNC((((G5*G4))-(((G5*G4))*0.2)),2)</f>
        <v>281.60000000000002</v>
      </c>
      <c r="E45" s="148"/>
    </row>
    <row r="46" spans="1:6" ht="14.25" customHeight="1">
      <c r="A46" s="2" t="s">
        <v>33</v>
      </c>
      <c r="B46" s="3" t="s">
        <v>88</v>
      </c>
      <c r="C46" s="6" t="s">
        <v>208</v>
      </c>
      <c r="D46" s="57">
        <v>5</v>
      </c>
      <c r="E46" s="148"/>
      <c r="F46" s="36"/>
    </row>
    <row r="47" spans="1:6" ht="14.25" customHeight="1">
      <c r="A47" s="2" t="s">
        <v>35</v>
      </c>
      <c r="B47" s="3" t="s">
        <v>89</v>
      </c>
      <c r="C47" s="6" t="s">
        <v>208</v>
      </c>
      <c r="D47" s="57">
        <v>4</v>
      </c>
      <c r="E47" s="148"/>
    </row>
    <row r="48" spans="1:6" ht="14.25" customHeight="1">
      <c r="A48" s="2" t="s">
        <v>38</v>
      </c>
      <c r="B48" s="3" t="s">
        <v>91</v>
      </c>
      <c r="C48" s="6" t="s">
        <v>208</v>
      </c>
      <c r="D48" s="57">
        <v>15</v>
      </c>
      <c r="E48" s="148"/>
    </row>
    <row r="49" spans="1:6" ht="14.25" customHeight="1">
      <c r="A49" s="2" t="s">
        <v>43</v>
      </c>
      <c r="B49" s="3"/>
      <c r="C49" s="3"/>
      <c r="D49" s="9">
        <f>TRUNC(SUM(D44:D48),2)</f>
        <v>422.2</v>
      </c>
      <c r="E49" s="145"/>
    </row>
    <row r="50" spans="1:6" ht="14.25" customHeight="1">
      <c r="A50" s="14"/>
      <c r="D50" s="15"/>
      <c r="E50" s="145"/>
    </row>
    <row r="51" spans="1:6" ht="14.25" customHeight="1">
      <c r="A51" s="113" t="s">
        <v>97</v>
      </c>
      <c r="B51" s="114"/>
      <c r="C51" s="114"/>
      <c r="D51" s="114"/>
    </row>
    <row r="52" spans="1:6" ht="14.25" customHeight="1">
      <c r="A52" s="2" t="s">
        <v>98</v>
      </c>
      <c r="B52" s="3" t="s">
        <v>99</v>
      </c>
      <c r="C52" s="2" t="s">
        <v>4</v>
      </c>
      <c r="D52" s="2" t="s">
        <v>5</v>
      </c>
      <c r="E52" s="142"/>
    </row>
    <row r="53" spans="1:6" ht="14.25" customHeight="1">
      <c r="A53" s="2" t="s">
        <v>50</v>
      </c>
      <c r="B53" s="3" t="s">
        <v>51</v>
      </c>
      <c r="C53" s="2"/>
      <c r="D53" s="9">
        <f>D24</f>
        <v>226.71</v>
      </c>
      <c r="E53" s="145"/>
    </row>
    <row r="54" spans="1:6" ht="14.25" customHeight="1">
      <c r="A54" s="2" t="s">
        <v>66</v>
      </c>
      <c r="B54" s="3" t="s">
        <v>67</v>
      </c>
      <c r="C54" s="2"/>
      <c r="D54" s="9">
        <f>D40</f>
        <v>554.26</v>
      </c>
      <c r="E54" s="145"/>
    </row>
    <row r="55" spans="1:6" ht="14.25" customHeight="1">
      <c r="A55" s="2" t="s">
        <v>84</v>
      </c>
      <c r="B55" s="3" t="s">
        <v>85</v>
      </c>
      <c r="C55" s="2"/>
      <c r="D55" s="9">
        <f>D49</f>
        <v>422.2</v>
      </c>
      <c r="E55" s="145"/>
    </row>
    <row r="56" spans="1:6" ht="14.25" customHeight="1">
      <c r="A56" s="2" t="s">
        <v>43</v>
      </c>
      <c r="B56" s="3"/>
      <c r="C56" s="2"/>
      <c r="D56" s="9">
        <f>TRUNC(SUM(D53:D55),2)</f>
        <v>1203.17</v>
      </c>
      <c r="E56" s="145"/>
    </row>
    <row r="57" spans="1:6" ht="14.25" customHeight="1"/>
    <row r="58" spans="1:6" ht="14.25" customHeight="1">
      <c r="A58" s="115" t="s">
        <v>100</v>
      </c>
      <c r="B58" s="116"/>
      <c r="C58" s="116"/>
      <c r="D58" s="117"/>
      <c r="E58" s="143"/>
    </row>
    <row r="59" spans="1:6" ht="14.25" customHeight="1">
      <c r="A59" s="2" t="s">
        <v>101</v>
      </c>
      <c r="B59" s="3" t="s">
        <v>102</v>
      </c>
      <c r="C59" s="2" t="s">
        <v>4</v>
      </c>
      <c r="D59" s="2" t="s">
        <v>5</v>
      </c>
      <c r="E59" s="142"/>
    </row>
    <row r="60" spans="1:6" ht="14.25" customHeight="1">
      <c r="A60" s="2" t="s">
        <v>27</v>
      </c>
      <c r="B60" s="59" t="s">
        <v>103</v>
      </c>
      <c r="C60" s="60">
        <f>((1/12)*5%)</f>
        <v>4.1666666666666666E-3</v>
      </c>
      <c r="D60" s="61">
        <f>TRUNC(($D$17*C60),2)</f>
        <v>4.8499999999999996</v>
      </c>
      <c r="E60" s="149"/>
      <c r="F60" s="36"/>
    </row>
    <row r="61" spans="1:6" ht="14.25" customHeight="1">
      <c r="A61" s="2" t="s">
        <v>30</v>
      </c>
      <c r="B61" s="59" t="s">
        <v>104</v>
      </c>
      <c r="C61" s="51">
        <v>0.08</v>
      </c>
      <c r="D61" s="62">
        <f>TRUNC(D60*C61,2)</f>
        <v>0.38</v>
      </c>
      <c r="E61" s="150"/>
    </row>
    <row r="62" spans="1:6" ht="14.25" customHeight="1">
      <c r="A62" s="2" t="s">
        <v>33</v>
      </c>
      <c r="B62" s="59" t="s">
        <v>105</v>
      </c>
      <c r="C62" s="60">
        <f>(0.08*0.4*0.05)</f>
        <v>1.6000000000000001E-3</v>
      </c>
      <c r="D62" s="61">
        <f t="shared" ref="D62:D63" si="2">TRUNC(($D$17*C62),2)</f>
        <v>1.86</v>
      </c>
      <c r="E62" s="149"/>
    </row>
    <row r="63" spans="1:6" ht="14.25" customHeight="1">
      <c r="A63" s="2" t="s">
        <v>35</v>
      </c>
      <c r="B63" s="59" t="s">
        <v>106</v>
      </c>
      <c r="C63" s="51">
        <f>(((7/30)/12)*0.95)</f>
        <v>1.8472222222222223E-2</v>
      </c>
      <c r="D63" s="62">
        <f t="shared" si="2"/>
        <v>21.53</v>
      </c>
      <c r="E63" s="150"/>
    </row>
    <row r="64" spans="1:6" ht="14.25" customHeight="1">
      <c r="A64" s="2" t="s">
        <v>38</v>
      </c>
      <c r="B64" s="59" t="s">
        <v>214</v>
      </c>
      <c r="C64" s="51">
        <f>C40</f>
        <v>0.39800000000000008</v>
      </c>
      <c r="D64" s="62">
        <f>TRUNC(D63*C64,2)</f>
        <v>8.56</v>
      </c>
      <c r="E64" s="150"/>
    </row>
    <row r="65" spans="1:5" ht="14.25" customHeight="1">
      <c r="A65" s="2" t="s">
        <v>40</v>
      </c>
      <c r="B65" s="59" t="s">
        <v>107</v>
      </c>
      <c r="C65" s="60">
        <f>(0.08*0.4*0.95)</f>
        <v>3.04E-2</v>
      </c>
      <c r="D65" s="61">
        <f>TRUNC(($D$17*C65),2)</f>
        <v>35.44</v>
      </c>
      <c r="E65" s="149"/>
    </row>
    <row r="66" spans="1:5" ht="14.25" customHeight="1">
      <c r="A66" s="2" t="s">
        <v>43</v>
      </c>
      <c r="B66" s="3"/>
      <c r="C66" s="3"/>
      <c r="D66" s="63">
        <f>TRUNC(SUM(D60:D65),2)</f>
        <v>72.62</v>
      </c>
      <c r="E66" s="151"/>
    </row>
    <row r="67" spans="1:5" ht="14.25" customHeight="1" thickBot="1">
      <c r="A67" s="14"/>
      <c r="D67" s="15"/>
      <c r="E67" s="145"/>
    </row>
    <row r="68" spans="1:5" ht="14.25" customHeight="1" thickTop="1" thickBot="1">
      <c r="A68" s="129" t="s">
        <v>215</v>
      </c>
      <c r="B68" s="130"/>
      <c r="C68" s="52" t="s">
        <v>212</v>
      </c>
      <c r="D68" s="53">
        <f>D17</f>
        <v>1166</v>
      </c>
      <c r="E68" s="146"/>
    </row>
    <row r="69" spans="1:5" ht="14.25" customHeight="1" thickTop="1" thickBot="1">
      <c r="A69" s="131"/>
      <c r="B69" s="132"/>
      <c r="C69" s="54" t="s">
        <v>216</v>
      </c>
      <c r="D69" s="53">
        <f>D56</f>
        <v>1203.17</v>
      </c>
      <c r="E69" s="146"/>
    </row>
    <row r="70" spans="1:5" ht="14.25" customHeight="1" thickTop="1" thickBot="1">
      <c r="A70" s="131"/>
      <c r="B70" s="132"/>
      <c r="C70" s="52" t="s">
        <v>217</v>
      </c>
      <c r="D70" s="53">
        <f>D66</f>
        <v>72.62</v>
      </c>
      <c r="E70" s="146"/>
    </row>
    <row r="71" spans="1:5" ht="14.25" customHeight="1" thickTop="1" thickBot="1">
      <c r="A71" s="133"/>
      <c r="B71" s="134"/>
      <c r="C71" s="54" t="s">
        <v>199</v>
      </c>
      <c r="D71" s="55">
        <f>TRUNC((SUM(D68:D70)),2)</f>
        <v>2441.79</v>
      </c>
      <c r="E71" s="147"/>
    </row>
    <row r="72" spans="1:5" ht="14.25" customHeight="1" thickTop="1">
      <c r="A72" s="14"/>
      <c r="D72" s="15"/>
      <c r="E72" s="145"/>
    </row>
    <row r="73" spans="1:5" ht="14.25" customHeight="1">
      <c r="A73" s="122" t="s">
        <v>119</v>
      </c>
      <c r="B73" s="119"/>
      <c r="C73" s="119"/>
      <c r="D73" s="120"/>
      <c r="E73" s="143"/>
    </row>
    <row r="74" spans="1:5" ht="14.25" customHeight="1">
      <c r="A74" s="113" t="s">
        <v>120</v>
      </c>
      <c r="B74" s="114"/>
      <c r="C74" s="114"/>
      <c r="D74" s="114"/>
    </row>
    <row r="75" spans="1:5" ht="14.25" customHeight="1">
      <c r="A75" s="2" t="s">
        <v>121</v>
      </c>
      <c r="B75" s="3" t="s">
        <v>122</v>
      </c>
      <c r="C75" s="2" t="s">
        <v>123</v>
      </c>
      <c r="D75" s="2" t="s">
        <v>5</v>
      </c>
      <c r="E75" s="142"/>
    </row>
    <row r="76" spans="1:5" ht="14.25" customHeight="1">
      <c r="A76" s="2" t="s">
        <v>27</v>
      </c>
      <c r="B76" s="59" t="s">
        <v>124</v>
      </c>
      <c r="C76" s="60">
        <f>((1+1/3)/12)/12</f>
        <v>9.2592592592592587E-3</v>
      </c>
      <c r="D76" s="64">
        <f t="shared" ref="D76:D81" si="3">TRUNC(($D$71*C76),2)</f>
        <v>22.6</v>
      </c>
      <c r="E76" s="152"/>
    </row>
    <row r="77" spans="1:5" ht="14.25" customHeight="1">
      <c r="A77" s="2" t="s">
        <v>30</v>
      </c>
      <c r="B77" s="59" t="s">
        <v>125</v>
      </c>
      <c r="C77" s="60">
        <f>((2/30)/12)</f>
        <v>5.5555555555555558E-3</v>
      </c>
      <c r="D77" s="64">
        <f t="shared" si="3"/>
        <v>13.56</v>
      </c>
      <c r="E77" s="152"/>
    </row>
    <row r="78" spans="1:5" ht="14.25" customHeight="1">
      <c r="A78" s="2" t="s">
        <v>33</v>
      </c>
      <c r="B78" s="59" t="s">
        <v>126</v>
      </c>
      <c r="C78" s="60">
        <f>(((5/30)/12)*0.02)</f>
        <v>2.7777777777777778E-4</v>
      </c>
      <c r="D78" s="64">
        <f t="shared" si="3"/>
        <v>0.67</v>
      </c>
      <c r="E78" s="152"/>
    </row>
    <row r="79" spans="1:5" ht="14.25" customHeight="1">
      <c r="A79" s="2" t="s">
        <v>35</v>
      </c>
      <c r="B79" s="59" t="s">
        <v>127</v>
      </c>
      <c r="C79" s="60">
        <f>((15/30)/12)*0.08</f>
        <v>3.3333333333333331E-3</v>
      </c>
      <c r="D79" s="64">
        <f t="shared" si="3"/>
        <v>8.1300000000000008</v>
      </c>
      <c r="E79" s="152"/>
    </row>
    <row r="80" spans="1:5" ht="14.25" customHeight="1">
      <c r="A80" s="2" t="s">
        <v>38</v>
      </c>
      <c r="B80" s="59" t="s">
        <v>128</v>
      </c>
      <c r="C80" s="60">
        <f>((1+1/3)/12)*0.03*((4/12))</f>
        <v>1.1111111111111109E-3</v>
      </c>
      <c r="D80" s="64">
        <f t="shared" si="3"/>
        <v>2.71</v>
      </c>
      <c r="E80" s="152"/>
    </row>
    <row r="81" spans="1:5" ht="14.25" customHeight="1">
      <c r="A81" s="2" t="s">
        <v>40</v>
      </c>
      <c r="B81" s="59" t="s">
        <v>218</v>
      </c>
      <c r="C81" s="60">
        <v>0</v>
      </c>
      <c r="D81" s="64">
        <f t="shared" si="3"/>
        <v>0</v>
      </c>
      <c r="E81" s="152"/>
    </row>
    <row r="82" spans="1:5" ht="14.25" customHeight="1">
      <c r="A82" s="2" t="s">
        <v>43</v>
      </c>
      <c r="B82" s="3"/>
      <c r="C82" s="23">
        <f>SUBTOTAL(109,'Monitor de Sistemas Eletrônicos'!$C$76:$C$81)</f>
        <v>1.9537037037037037E-2</v>
      </c>
      <c r="D82" s="9">
        <f>TRUNC(SUM(D76:D81),2)</f>
        <v>47.67</v>
      </c>
      <c r="E82" s="145"/>
    </row>
    <row r="83" spans="1:5" ht="14.25" customHeight="1">
      <c r="A83" s="14"/>
      <c r="C83" s="14"/>
      <c r="D83" s="15"/>
      <c r="E83" s="145"/>
    </row>
    <row r="84" spans="1:5" ht="14.25" customHeight="1">
      <c r="A84" s="113" t="s">
        <v>139</v>
      </c>
      <c r="B84" s="114"/>
      <c r="C84" s="114"/>
      <c r="D84" s="114"/>
    </row>
    <row r="85" spans="1:5" ht="14.25" customHeight="1">
      <c r="A85" s="2" t="s">
        <v>140</v>
      </c>
      <c r="B85" s="3" t="s">
        <v>141</v>
      </c>
      <c r="C85" s="2" t="s">
        <v>4</v>
      </c>
      <c r="D85" s="2" t="s">
        <v>5</v>
      </c>
      <c r="E85" s="142"/>
    </row>
    <row r="86" spans="1:5" ht="14.25" customHeight="1">
      <c r="A86" s="2" t="s">
        <v>27</v>
      </c>
      <c r="B86" s="3" t="s">
        <v>142</v>
      </c>
      <c r="C86" s="2"/>
      <c r="D86" s="9"/>
      <c r="E86" s="145"/>
    </row>
    <row r="87" spans="1:5" ht="14.25" customHeight="1">
      <c r="A87" s="2" t="s">
        <v>43</v>
      </c>
      <c r="B87" s="3"/>
      <c r="C87" s="2"/>
      <c r="D87" s="9">
        <f>SUBTOTAL(109,'Monitor de Sistemas Eletrônicos'!$D$86)</f>
        <v>0</v>
      </c>
      <c r="E87" s="145"/>
    </row>
    <row r="88" spans="1:5" ht="14.25" customHeight="1"/>
    <row r="89" spans="1:5" ht="14.25" customHeight="1">
      <c r="A89" s="113" t="s">
        <v>143</v>
      </c>
      <c r="B89" s="114"/>
      <c r="C89" s="114"/>
      <c r="D89" s="114"/>
    </row>
    <row r="90" spans="1:5" ht="14.25" customHeight="1">
      <c r="A90" s="2" t="s">
        <v>144</v>
      </c>
      <c r="B90" s="3" t="s">
        <v>145</v>
      </c>
      <c r="C90" s="2" t="s">
        <v>4</v>
      </c>
      <c r="D90" s="2" t="s">
        <v>5</v>
      </c>
      <c r="E90" s="142"/>
    </row>
    <row r="91" spans="1:5" ht="14.25" customHeight="1">
      <c r="A91" s="2" t="s">
        <v>121</v>
      </c>
      <c r="B91" s="3" t="s">
        <v>122</v>
      </c>
      <c r="C91" s="3"/>
      <c r="D91" s="65">
        <f>D82</f>
        <v>47.67</v>
      </c>
      <c r="E91" s="153"/>
    </row>
    <row r="92" spans="1:5" ht="14.25" customHeight="1">
      <c r="A92" s="2" t="s">
        <v>140</v>
      </c>
      <c r="B92" s="3" t="s">
        <v>146</v>
      </c>
      <c r="C92" s="3"/>
      <c r="D92" s="9">
        <f>'Monitor de Sistemas Eletrônicos'!$D$87</f>
        <v>0</v>
      </c>
      <c r="E92" s="145"/>
    </row>
    <row r="93" spans="1:5" ht="14.25" customHeight="1">
      <c r="A93" s="2" t="s">
        <v>43</v>
      </c>
      <c r="B93" s="3"/>
      <c r="C93" s="3"/>
      <c r="D93" s="9">
        <f>TRUNC(SUM(D91:D92),2)</f>
        <v>47.67</v>
      </c>
      <c r="E93" s="145"/>
    </row>
    <row r="94" spans="1:5" ht="14.25" customHeight="1"/>
    <row r="95" spans="1:5" ht="14.25" customHeight="1">
      <c r="A95" s="115" t="s">
        <v>147</v>
      </c>
      <c r="B95" s="116"/>
      <c r="C95" s="116"/>
      <c r="D95" s="117"/>
      <c r="E95" s="143"/>
    </row>
    <row r="96" spans="1:5" ht="14.25" customHeight="1">
      <c r="A96" s="2" t="s">
        <v>148</v>
      </c>
      <c r="B96" s="3" t="s">
        <v>149</v>
      </c>
      <c r="C96" s="2" t="s">
        <v>4</v>
      </c>
      <c r="D96" s="2" t="s">
        <v>5</v>
      </c>
      <c r="E96" s="142"/>
    </row>
    <row r="97" spans="1:7" ht="14.25" customHeight="1">
      <c r="A97" s="2" t="s">
        <v>27</v>
      </c>
      <c r="B97" s="3" t="s">
        <v>219</v>
      </c>
      <c r="C97" s="3"/>
      <c r="D97" s="66">
        <v>10.220000000000001</v>
      </c>
      <c r="E97" s="154"/>
    </row>
    <row r="98" spans="1:7" ht="14.25" customHeight="1">
      <c r="A98" s="2" t="s">
        <v>30</v>
      </c>
      <c r="B98" s="3" t="s">
        <v>151</v>
      </c>
      <c r="C98" s="3"/>
      <c r="D98" s="66">
        <v>0</v>
      </c>
      <c r="E98" s="154"/>
    </row>
    <row r="99" spans="1:7" ht="14.25" customHeight="1">
      <c r="A99" s="2" t="s">
        <v>33</v>
      </c>
      <c r="B99" s="3" t="s">
        <v>152</v>
      </c>
      <c r="C99" s="3"/>
      <c r="D99" s="66">
        <v>0</v>
      </c>
      <c r="E99" s="154"/>
    </row>
    <row r="100" spans="1:7" ht="14.25" customHeight="1">
      <c r="A100" s="2" t="s">
        <v>35</v>
      </c>
      <c r="B100" s="3" t="s">
        <v>220</v>
      </c>
      <c r="C100" s="3"/>
      <c r="D100" s="66">
        <v>0</v>
      </c>
      <c r="E100" s="154"/>
    </row>
    <row r="101" spans="1:7" ht="14.25" customHeight="1">
      <c r="A101" s="2" t="s">
        <v>43</v>
      </c>
      <c r="B101" s="3"/>
      <c r="C101" s="3"/>
      <c r="D101" s="9">
        <f>TRUNC(SUM(D97:D100),2)</f>
        <v>10.220000000000001</v>
      </c>
      <c r="E101" s="145"/>
    </row>
    <row r="102" spans="1:7" ht="14.25" customHeight="1" thickBot="1">
      <c r="A102" s="14"/>
      <c r="D102" s="15"/>
      <c r="E102" s="145"/>
    </row>
    <row r="103" spans="1:7" ht="14.25" customHeight="1" thickTop="1" thickBot="1">
      <c r="A103" s="129" t="s">
        <v>221</v>
      </c>
      <c r="B103" s="130"/>
      <c r="C103" s="52" t="s">
        <v>212</v>
      </c>
      <c r="D103" s="53">
        <f>D17</f>
        <v>1166</v>
      </c>
      <c r="E103" s="146"/>
    </row>
    <row r="104" spans="1:7" ht="14.25" customHeight="1" thickTop="1" thickBot="1">
      <c r="A104" s="131"/>
      <c r="B104" s="132"/>
      <c r="C104" s="54" t="s">
        <v>216</v>
      </c>
      <c r="D104" s="53">
        <f>D56</f>
        <v>1203.17</v>
      </c>
      <c r="E104" s="146"/>
    </row>
    <row r="105" spans="1:7" ht="14.25" customHeight="1" thickTop="1" thickBot="1">
      <c r="A105" s="131"/>
      <c r="B105" s="132"/>
      <c r="C105" s="52" t="s">
        <v>217</v>
      </c>
      <c r="D105" s="53">
        <f>D66</f>
        <v>72.62</v>
      </c>
      <c r="E105" s="146"/>
    </row>
    <row r="106" spans="1:7" ht="14.25" customHeight="1" thickTop="1" thickBot="1">
      <c r="A106" s="131"/>
      <c r="B106" s="132"/>
      <c r="C106" s="54" t="s">
        <v>222</v>
      </c>
      <c r="D106" s="53">
        <f>D93</f>
        <v>47.67</v>
      </c>
      <c r="E106" s="146"/>
    </row>
    <row r="107" spans="1:7" ht="14.25" customHeight="1" thickTop="1" thickBot="1">
      <c r="A107" s="131"/>
      <c r="B107" s="132"/>
      <c r="C107" s="52" t="s">
        <v>223</v>
      </c>
      <c r="D107" s="53">
        <f>D101</f>
        <v>10.220000000000001</v>
      </c>
      <c r="E107" s="146"/>
    </row>
    <row r="108" spans="1:7" ht="14.25" customHeight="1" thickTop="1" thickBot="1">
      <c r="A108" s="133"/>
      <c r="B108" s="134"/>
      <c r="C108" s="54" t="s">
        <v>199</v>
      </c>
      <c r="D108" s="55">
        <f>TRUNC((SUM(D103:D107)),2)</f>
        <v>2499.6799999999998</v>
      </c>
      <c r="E108" s="147"/>
    </row>
    <row r="109" spans="1:7" ht="14.25" customHeight="1" thickTop="1">
      <c r="A109" s="14"/>
      <c r="D109" s="15"/>
      <c r="E109" s="145"/>
    </row>
    <row r="110" spans="1:7" ht="14.25" customHeight="1" thickBot="1">
      <c r="A110" s="115" t="s">
        <v>159</v>
      </c>
      <c r="B110" s="116"/>
      <c r="C110" s="116"/>
      <c r="D110" s="117"/>
      <c r="E110" s="143"/>
      <c r="F110" s="135" t="s">
        <v>224</v>
      </c>
      <c r="G110" s="136"/>
    </row>
    <row r="111" spans="1:7" ht="14.25" customHeight="1" thickTop="1">
      <c r="A111" s="2" t="s">
        <v>160</v>
      </c>
      <c r="B111" s="3" t="s">
        <v>161</v>
      </c>
      <c r="C111" s="2" t="s">
        <v>23</v>
      </c>
      <c r="D111" s="2" t="s">
        <v>5</v>
      </c>
      <c r="E111" s="142"/>
      <c r="F111" s="67" t="s">
        <v>225</v>
      </c>
      <c r="G111" s="68">
        <f>C114</f>
        <v>8.6499999999999994E-2</v>
      </c>
    </row>
    <row r="112" spans="1:7" ht="14.25" customHeight="1" thickBot="1">
      <c r="A112" s="2" t="s">
        <v>27</v>
      </c>
      <c r="B112" s="3" t="s">
        <v>162</v>
      </c>
      <c r="C112" s="56">
        <v>2.2499999999999999E-2</v>
      </c>
      <c r="D112" s="57">
        <f>TRUNC(($D$108*C112),2)</f>
        <v>56.24</v>
      </c>
      <c r="E112" s="148"/>
      <c r="F112" s="69" t="s">
        <v>226</v>
      </c>
      <c r="G112" s="70">
        <f>TRUNC(SUM(D108,D112,D113),2)</f>
        <v>2569.9699999999998</v>
      </c>
    </row>
    <row r="113" spans="1:7" ht="14.25" customHeight="1" thickTop="1">
      <c r="A113" s="2" t="s">
        <v>30</v>
      </c>
      <c r="B113" s="3" t="s">
        <v>44</v>
      </c>
      <c r="C113" s="56">
        <v>5.4999999999999997E-3</v>
      </c>
      <c r="D113" s="57">
        <f>TRUNC((D108+D112)*C113,2)</f>
        <v>14.05</v>
      </c>
      <c r="E113" s="148"/>
      <c r="F113" s="67" t="s">
        <v>227</v>
      </c>
      <c r="G113" s="71">
        <f>(100-8.65)/100</f>
        <v>0.91349999999999998</v>
      </c>
    </row>
    <row r="114" spans="1:7" ht="14.25" customHeight="1" thickBot="1">
      <c r="A114" s="2" t="s">
        <v>33</v>
      </c>
      <c r="B114" s="3" t="s">
        <v>163</v>
      </c>
      <c r="C114" s="56">
        <f t="shared" ref="C114:D114" si="4">SUM(C115:C117)</f>
        <v>8.6499999999999994E-2</v>
      </c>
      <c r="D114" s="57">
        <f t="shared" si="4"/>
        <v>243.32999999999998</v>
      </c>
      <c r="E114" s="148"/>
      <c r="F114" s="69" t="s">
        <v>224</v>
      </c>
      <c r="G114" s="70">
        <f>TRUNC((G112/G113),2)</f>
        <v>2813.32</v>
      </c>
    </row>
    <row r="115" spans="1:7" ht="14.25" customHeight="1" thickTop="1">
      <c r="A115" s="2" t="s">
        <v>164</v>
      </c>
      <c r="B115" s="3" t="s">
        <v>45</v>
      </c>
      <c r="C115" s="56">
        <v>6.4999999999999997E-3</v>
      </c>
      <c r="D115" s="57">
        <f t="shared" ref="D115:D117" si="5">TRUNC(($G$114*C115),2)</f>
        <v>18.28</v>
      </c>
      <c r="E115" s="148"/>
    </row>
    <row r="116" spans="1:7" ht="14.25" customHeight="1">
      <c r="A116" s="2" t="s">
        <v>165</v>
      </c>
      <c r="B116" s="3" t="s">
        <v>47</v>
      </c>
      <c r="C116" s="56">
        <v>0.03</v>
      </c>
      <c r="D116" s="57">
        <f t="shared" si="5"/>
        <v>84.39</v>
      </c>
      <c r="E116" s="148"/>
    </row>
    <row r="117" spans="1:7" ht="14.25" customHeight="1">
      <c r="A117" s="2" t="s">
        <v>166</v>
      </c>
      <c r="B117" s="3" t="s">
        <v>49</v>
      </c>
      <c r="C117" s="56">
        <v>0.05</v>
      </c>
      <c r="D117" s="57">
        <f t="shared" si="5"/>
        <v>140.66</v>
      </c>
      <c r="E117" s="148"/>
    </row>
    <row r="118" spans="1:7" ht="14.25" customHeight="1">
      <c r="A118" s="2" t="s">
        <v>43</v>
      </c>
      <c r="B118" s="3"/>
      <c r="C118" s="2"/>
      <c r="D118" s="9">
        <f>TRUNC(SUM(D112:D114),2)</f>
        <v>313.62</v>
      </c>
      <c r="E118" s="145"/>
    </row>
    <row r="119" spans="1:7" ht="14.25" customHeight="1">
      <c r="A119" s="14"/>
      <c r="C119" s="14"/>
      <c r="D119" s="15"/>
      <c r="E119" s="145"/>
    </row>
    <row r="120" spans="1:7" ht="14.25" customHeight="1">
      <c r="A120" s="115" t="s">
        <v>167</v>
      </c>
      <c r="B120" s="116"/>
      <c r="C120" s="116"/>
      <c r="D120" s="117"/>
      <c r="E120" s="143"/>
    </row>
    <row r="121" spans="1:7" ht="14.25" customHeight="1">
      <c r="A121" s="2" t="s">
        <v>2</v>
      </c>
      <c r="B121" s="2" t="s">
        <v>168</v>
      </c>
      <c r="C121" s="2" t="s">
        <v>94</v>
      </c>
      <c r="D121" s="2" t="s">
        <v>5</v>
      </c>
      <c r="E121" s="142"/>
    </row>
    <row r="122" spans="1:7" ht="14.25" customHeight="1">
      <c r="A122" s="2" t="s">
        <v>27</v>
      </c>
      <c r="B122" s="3" t="s">
        <v>21</v>
      </c>
      <c r="C122" s="3"/>
      <c r="D122" s="9">
        <f>D17</f>
        <v>1166</v>
      </c>
      <c r="E122" s="145"/>
    </row>
    <row r="123" spans="1:7" ht="14.25" customHeight="1">
      <c r="A123" s="2" t="s">
        <v>30</v>
      </c>
      <c r="B123" s="3" t="s">
        <v>46</v>
      </c>
      <c r="C123" s="3"/>
      <c r="D123" s="9">
        <f>D56</f>
        <v>1203.17</v>
      </c>
      <c r="E123" s="145"/>
    </row>
    <row r="124" spans="1:7" ht="14.25" customHeight="1">
      <c r="A124" s="2" t="s">
        <v>33</v>
      </c>
      <c r="B124" s="3" t="s">
        <v>100</v>
      </c>
      <c r="C124" s="3"/>
      <c r="D124" s="9">
        <f>D66</f>
        <v>72.62</v>
      </c>
      <c r="E124" s="145"/>
    </row>
    <row r="125" spans="1:7" ht="14.25" customHeight="1">
      <c r="A125" s="2" t="s">
        <v>35</v>
      </c>
      <c r="B125" s="3" t="s">
        <v>169</v>
      </c>
      <c r="C125" s="3"/>
      <c r="D125" s="9">
        <f>D93</f>
        <v>47.67</v>
      </c>
      <c r="E125" s="145"/>
    </row>
    <row r="126" spans="1:7" ht="14.25" customHeight="1">
      <c r="A126" s="2" t="s">
        <v>38</v>
      </c>
      <c r="B126" s="3" t="s">
        <v>147</v>
      </c>
      <c r="C126" s="3"/>
      <c r="D126" s="9">
        <f>D101</f>
        <v>10.220000000000001</v>
      </c>
      <c r="E126" s="145"/>
    </row>
    <row r="127" spans="1:7" ht="14.25" customHeight="1">
      <c r="A127" s="3" t="s">
        <v>170</v>
      </c>
      <c r="B127" s="3"/>
      <c r="C127" s="3"/>
      <c r="D127" s="9">
        <f>TRUNC(SUM(D122:D126),2)</f>
        <v>2499.6799999999998</v>
      </c>
      <c r="E127" s="145"/>
    </row>
    <row r="128" spans="1:7" ht="14.25" customHeight="1">
      <c r="A128" s="2" t="s">
        <v>40</v>
      </c>
      <c r="B128" s="3" t="s">
        <v>159</v>
      </c>
      <c r="C128" s="3"/>
      <c r="D128" s="9">
        <f>D118</f>
        <v>313.62</v>
      </c>
      <c r="E128" s="145"/>
    </row>
    <row r="129" spans="1:5" ht="14.25" customHeight="1">
      <c r="A129" s="72" t="s">
        <v>171</v>
      </c>
      <c r="B129" s="27"/>
      <c r="C129" s="27"/>
      <c r="D129" s="73">
        <f>TRUNC((SUM(D122:D126)+D128),2)</f>
        <v>2813.3</v>
      </c>
      <c r="E129" s="155"/>
    </row>
    <row r="130" spans="1:5" ht="14.25" customHeight="1"/>
    <row r="131" spans="1:5" ht="14.25" customHeight="1"/>
    <row r="132" spans="1:5" ht="14.25" customHeight="1"/>
    <row r="133" spans="1:5" ht="14.25" customHeight="1"/>
    <row r="134" spans="1:5" ht="14.25" customHeight="1"/>
    <row r="135" spans="1:5" ht="14.25" customHeight="1"/>
    <row r="136" spans="1:5" ht="14.25" customHeight="1"/>
    <row r="137" spans="1:5" ht="14.25" customHeight="1"/>
    <row r="138" spans="1:5" ht="14.25" customHeight="1"/>
    <row r="139" spans="1:5" ht="14.25" customHeight="1"/>
    <row r="140" spans="1:5" ht="14.25" customHeight="1"/>
    <row r="141" spans="1:5" ht="14.25" customHeight="1"/>
    <row r="142" spans="1:5" ht="14.25" customHeight="1"/>
    <row r="143" spans="1:5" ht="14.25" customHeight="1"/>
    <row r="144" spans="1:5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">
    <mergeCell ref="A110:D110"/>
    <mergeCell ref="F110:G110"/>
    <mergeCell ref="A120:D120"/>
    <mergeCell ref="A42:D42"/>
    <mergeCell ref="A51:D51"/>
    <mergeCell ref="A58:D58"/>
    <mergeCell ref="A68:B71"/>
    <mergeCell ref="A73:D73"/>
    <mergeCell ref="A74:D74"/>
    <mergeCell ref="A84:D84"/>
    <mergeCell ref="A26:B28"/>
    <mergeCell ref="A30:D30"/>
    <mergeCell ref="A89:D89"/>
    <mergeCell ref="A95:D95"/>
    <mergeCell ref="A103:B108"/>
    <mergeCell ref="A1:D1"/>
    <mergeCell ref="F1:G1"/>
    <mergeCell ref="A9:D9"/>
    <mergeCell ref="A19:D19"/>
    <mergeCell ref="A20:D20"/>
  </mergeCells>
  <pageMargins left="0.75" right="0.75" top="1" bottom="1" header="0" footer="0"/>
  <pageSetup paperSize="9" orientation="landscape"/>
  <legacyDrawing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G1000"/>
  <sheetViews>
    <sheetView workbookViewId="0">
      <selection activeCell="F46" sqref="F46"/>
    </sheetView>
  </sheetViews>
  <sheetFormatPr defaultColWidth="12.6640625" defaultRowHeight="15" customHeight="1"/>
  <cols>
    <col min="1" max="1" width="11.5" customWidth="1"/>
    <col min="2" max="2" width="49.1640625" customWidth="1"/>
    <col min="3" max="3" width="24.25" customWidth="1"/>
    <col min="4" max="4" width="18.1640625" customWidth="1"/>
    <col min="5" max="5" width="8" style="138" customWidth="1"/>
    <col min="6" max="6" width="25.6640625" customWidth="1"/>
    <col min="7" max="7" width="10" customWidth="1"/>
    <col min="8" max="26" width="8" customWidth="1"/>
  </cols>
  <sheetData>
    <row r="1" spans="1:7" ht="14.25" customHeight="1">
      <c r="A1" s="110" t="s">
        <v>0</v>
      </c>
      <c r="B1" s="111"/>
      <c r="C1" s="111"/>
      <c r="D1" s="112"/>
      <c r="F1" s="113" t="s">
        <v>1</v>
      </c>
      <c r="G1" s="114"/>
    </row>
    <row r="2" spans="1:7" ht="14.25" customHeight="1">
      <c r="A2" s="2" t="s">
        <v>2</v>
      </c>
      <c r="B2" s="3" t="s">
        <v>3</v>
      </c>
      <c r="C2" s="2" t="s">
        <v>4</v>
      </c>
      <c r="D2" s="2" t="s">
        <v>5</v>
      </c>
      <c r="F2" s="18" t="s">
        <v>3</v>
      </c>
      <c r="G2" s="18" t="s">
        <v>5</v>
      </c>
    </row>
    <row r="3" spans="1:7" ht="14.25" customHeight="1">
      <c r="A3" s="2">
        <v>1</v>
      </c>
      <c r="B3" s="3" t="s">
        <v>6</v>
      </c>
      <c r="C3" s="2" t="s">
        <v>183</v>
      </c>
      <c r="D3" s="2" t="s">
        <v>206</v>
      </c>
      <c r="F3" s="3" t="s">
        <v>8</v>
      </c>
      <c r="G3" s="45">
        <v>4.1500000000000004</v>
      </c>
    </row>
    <row r="4" spans="1:7" ht="14.25" customHeight="1">
      <c r="A4" s="2">
        <v>2</v>
      </c>
      <c r="B4" s="3" t="s">
        <v>9</v>
      </c>
      <c r="C4" s="2"/>
      <c r="D4" s="2" t="s">
        <v>184</v>
      </c>
      <c r="F4" s="3" t="s">
        <v>11</v>
      </c>
      <c r="G4" s="45">
        <v>16</v>
      </c>
    </row>
    <row r="5" spans="1:7" ht="14.25" customHeight="1">
      <c r="A5" s="2">
        <v>3</v>
      </c>
      <c r="B5" s="3" t="s">
        <v>12</v>
      </c>
      <c r="C5" s="2" t="s">
        <v>228</v>
      </c>
      <c r="D5" s="46">
        <v>1100</v>
      </c>
      <c r="F5" s="3" t="s">
        <v>14</v>
      </c>
      <c r="G5" s="47">
        <v>22</v>
      </c>
    </row>
    <row r="6" spans="1:7" ht="14.25" customHeight="1">
      <c r="A6" s="2">
        <v>4</v>
      </c>
      <c r="B6" s="3" t="s">
        <v>15</v>
      </c>
      <c r="C6" s="2" t="s">
        <v>208</v>
      </c>
      <c r="D6" s="2"/>
      <c r="F6" s="3" t="s">
        <v>17</v>
      </c>
      <c r="G6" s="48">
        <v>0.06</v>
      </c>
    </row>
    <row r="7" spans="1:7" ht="14.25" customHeight="1">
      <c r="A7" s="2">
        <v>5</v>
      </c>
      <c r="B7" s="3" t="s">
        <v>18</v>
      </c>
      <c r="C7" s="2"/>
      <c r="D7" s="2" t="s">
        <v>19</v>
      </c>
      <c r="F7" s="3" t="s">
        <v>209</v>
      </c>
      <c r="G7" s="49">
        <v>2</v>
      </c>
    </row>
    <row r="8" spans="1:7" ht="14.25" customHeight="1">
      <c r="F8" s="1"/>
      <c r="G8" s="50"/>
    </row>
    <row r="9" spans="1:7" ht="14.25" customHeight="1">
      <c r="A9" s="115" t="s">
        <v>21</v>
      </c>
      <c r="B9" s="116"/>
      <c r="C9" s="116"/>
      <c r="D9" s="117"/>
      <c r="F9" s="1"/>
      <c r="G9" s="50"/>
    </row>
    <row r="10" spans="1:7" ht="14.25" customHeight="1">
      <c r="A10" s="2" t="s">
        <v>24</v>
      </c>
      <c r="B10" s="3" t="s">
        <v>25</v>
      </c>
      <c r="C10" s="2" t="s">
        <v>4</v>
      </c>
      <c r="D10" s="2" t="s">
        <v>5</v>
      </c>
      <c r="F10" s="1"/>
      <c r="G10" s="50"/>
    </row>
    <row r="11" spans="1:7" ht="14.25" customHeight="1">
      <c r="A11" s="2" t="s">
        <v>27</v>
      </c>
      <c r="B11" s="3" t="s">
        <v>28</v>
      </c>
      <c r="C11" s="2"/>
      <c r="D11" s="9">
        <f>D5</f>
        <v>1100</v>
      </c>
      <c r="F11" s="1"/>
      <c r="G11" s="50"/>
    </row>
    <row r="12" spans="1:7" ht="14.25" customHeight="1">
      <c r="A12" s="2" t="s">
        <v>30</v>
      </c>
      <c r="B12" s="3" t="s">
        <v>31</v>
      </c>
      <c r="C12" s="2"/>
      <c r="D12" s="9"/>
      <c r="F12" s="1"/>
      <c r="G12" s="50"/>
    </row>
    <row r="13" spans="1:7" ht="14.25" customHeight="1">
      <c r="A13" s="2" t="s">
        <v>33</v>
      </c>
      <c r="B13" s="3" t="s">
        <v>34</v>
      </c>
      <c r="C13" s="2"/>
      <c r="D13" s="9"/>
      <c r="F13" s="1"/>
      <c r="G13" s="50"/>
    </row>
    <row r="14" spans="1:7" ht="14.25" customHeight="1">
      <c r="A14" s="2" t="s">
        <v>35</v>
      </c>
      <c r="B14" s="3" t="s">
        <v>36</v>
      </c>
      <c r="C14" s="2"/>
      <c r="D14" s="9"/>
      <c r="F14" s="1"/>
      <c r="G14" s="50"/>
    </row>
    <row r="15" spans="1:7" ht="14.25" customHeight="1">
      <c r="A15" s="2" t="s">
        <v>38</v>
      </c>
      <c r="B15" s="3" t="s">
        <v>39</v>
      </c>
      <c r="C15" s="2"/>
      <c r="D15" s="9"/>
      <c r="F15" s="1"/>
      <c r="G15" s="50"/>
    </row>
    <row r="16" spans="1:7" ht="14.25" customHeight="1">
      <c r="A16" s="2" t="s">
        <v>40</v>
      </c>
      <c r="B16" s="3" t="s">
        <v>210</v>
      </c>
      <c r="C16" s="6"/>
      <c r="D16" s="9"/>
      <c r="F16" s="1"/>
      <c r="G16" s="50"/>
    </row>
    <row r="17" spans="1:7" ht="14.25" customHeight="1">
      <c r="A17" s="2" t="s">
        <v>43</v>
      </c>
      <c r="B17" s="3"/>
      <c r="C17" s="2"/>
      <c r="D17" s="9">
        <f>TRUNC(SUM(D11:D16),2)</f>
        <v>1100</v>
      </c>
      <c r="F17" s="1"/>
      <c r="G17" s="50"/>
    </row>
    <row r="18" spans="1:7" ht="14.25" customHeight="1">
      <c r="F18" s="1"/>
      <c r="G18" s="50"/>
    </row>
    <row r="19" spans="1:7" ht="14.25" customHeight="1">
      <c r="A19" s="118" t="s">
        <v>46</v>
      </c>
      <c r="B19" s="119"/>
      <c r="C19" s="119"/>
      <c r="D19" s="120"/>
      <c r="F19" s="1"/>
      <c r="G19" s="50"/>
    </row>
    <row r="20" spans="1:7" ht="14.25" customHeight="1">
      <c r="A20" s="113" t="s">
        <v>48</v>
      </c>
      <c r="B20" s="114"/>
      <c r="C20" s="114"/>
      <c r="D20" s="114"/>
      <c r="F20" s="1"/>
      <c r="G20" s="50"/>
    </row>
    <row r="21" spans="1:7" ht="14.25" customHeight="1">
      <c r="A21" s="2" t="s">
        <v>50</v>
      </c>
      <c r="B21" s="3" t="s">
        <v>51</v>
      </c>
      <c r="C21" s="2" t="s">
        <v>4</v>
      </c>
      <c r="D21" s="2" t="s">
        <v>5</v>
      </c>
      <c r="F21" s="1"/>
      <c r="G21" s="50"/>
    </row>
    <row r="22" spans="1:7" ht="14.25" customHeight="1">
      <c r="A22" s="2" t="s">
        <v>27</v>
      </c>
      <c r="B22" s="3" t="s">
        <v>52</v>
      </c>
      <c r="C22" s="51">
        <f>(1/12)</f>
        <v>8.3333333333333329E-2</v>
      </c>
      <c r="D22" s="9">
        <f t="shared" ref="D22:D23" si="0">TRUNC($D$17*C22,2)</f>
        <v>91.66</v>
      </c>
      <c r="F22" s="1"/>
      <c r="G22" s="50"/>
    </row>
    <row r="23" spans="1:7" ht="14.25" customHeight="1">
      <c r="A23" s="2" t="s">
        <v>30</v>
      </c>
      <c r="B23" s="3" t="s">
        <v>54</v>
      </c>
      <c r="C23" s="51">
        <f>(((1+1/3)/12))</f>
        <v>0.1111111111111111</v>
      </c>
      <c r="D23" s="9">
        <f t="shared" si="0"/>
        <v>122.22</v>
      </c>
      <c r="E23" s="139"/>
      <c r="F23" s="1"/>
      <c r="G23" s="50"/>
    </row>
    <row r="24" spans="1:7" ht="14.25" customHeight="1">
      <c r="A24" s="2" t="s">
        <v>43</v>
      </c>
      <c r="B24" s="3"/>
      <c r="C24" s="3"/>
      <c r="D24" s="9">
        <f>TRUNC(SUM(D22:D23),2)</f>
        <v>213.88</v>
      </c>
      <c r="F24" s="1"/>
      <c r="G24" s="50"/>
    </row>
    <row r="25" spans="1:7" ht="14.25" customHeight="1">
      <c r="A25" s="14"/>
      <c r="D25" s="15"/>
      <c r="F25" s="1"/>
      <c r="G25" s="50"/>
    </row>
    <row r="26" spans="1:7" ht="14.25" customHeight="1">
      <c r="A26" s="129" t="s">
        <v>211</v>
      </c>
      <c r="B26" s="130"/>
      <c r="C26" s="52" t="s">
        <v>212</v>
      </c>
      <c r="D26" s="53">
        <f>D17</f>
        <v>1100</v>
      </c>
      <c r="F26" s="1"/>
      <c r="G26" s="1"/>
    </row>
    <row r="27" spans="1:7" ht="14.25" customHeight="1">
      <c r="A27" s="131"/>
      <c r="B27" s="132"/>
      <c r="C27" s="54" t="s">
        <v>213</v>
      </c>
      <c r="D27" s="53">
        <f>D24</f>
        <v>213.88</v>
      </c>
      <c r="F27" s="1"/>
      <c r="G27" s="1"/>
    </row>
    <row r="28" spans="1:7" ht="14.25" customHeight="1">
      <c r="A28" s="133"/>
      <c r="B28" s="134"/>
      <c r="C28" s="52" t="s">
        <v>199</v>
      </c>
      <c r="D28" s="55">
        <f>TRUNC(SUM(D26:D27),2)</f>
        <v>1313.88</v>
      </c>
      <c r="F28" s="1"/>
      <c r="G28" s="1"/>
    </row>
    <row r="29" spans="1:7" ht="14.25" customHeight="1">
      <c r="A29" s="14"/>
      <c r="B29" s="14"/>
      <c r="C29" s="22"/>
      <c r="F29" s="1"/>
      <c r="G29" s="1"/>
    </row>
    <row r="30" spans="1:7" ht="14.25" customHeight="1">
      <c r="A30" s="113" t="s">
        <v>65</v>
      </c>
      <c r="B30" s="114"/>
      <c r="C30" s="114"/>
      <c r="D30" s="114"/>
    </row>
    <row r="31" spans="1:7" ht="14.25" customHeight="1">
      <c r="A31" s="2" t="s">
        <v>66</v>
      </c>
      <c r="B31" s="3" t="s">
        <v>67</v>
      </c>
      <c r="C31" s="2" t="s">
        <v>23</v>
      </c>
      <c r="D31" s="2" t="s">
        <v>68</v>
      </c>
    </row>
    <row r="32" spans="1:7" ht="14.25" customHeight="1">
      <c r="A32" s="2" t="s">
        <v>27</v>
      </c>
      <c r="B32" s="3" t="s">
        <v>69</v>
      </c>
      <c r="C32" s="23">
        <v>0.2</v>
      </c>
      <c r="D32" s="9">
        <f t="shared" ref="D32:D39" si="1">TRUNC(($D$28*C32),2)</f>
        <v>262.77</v>
      </c>
    </row>
    <row r="33" spans="1:6" ht="14.25" customHeight="1">
      <c r="A33" s="2" t="s">
        <v>30</v>
      </c>
      <c r="B33" s="3" t="s">
        <v>70</v>
      </c>
      <c r="C33" s="23">
        <v>2.5000000000000001E-2</v>
      </c>
      <c r="D33" s="9">
        <f t="shared" si="1"/>
        <v>32.840000000000003</v>
      </c>
    </row>
    <row r="34" spans="1:6" ht="14.25" customHeight="1">
      <c r="A34" s="2" t="s">
        <v>33</v>
      </c>
      <c r="B34" s="3" t="s">
        <v>71</v>
      </c>
      <c r="C34" s="56">
        <v>0.06</v>
      </c>
      <c r="D34" s="57">
        <f t="shared" si="1"/>
        <v>78.83</v>
      </c>
      <c r="E34" s="140"/>
    </row>
    <row r="35" spans="1:6" ht="14.25" customHeight="1">
      <c r="A35" s="2" t="s">
        <v>35</v>
      </c>
      <c r="B35" s="3" t="s">
        <v>72</v>
      </c>
      <c r="C35" s="23">
        <v>1.4999999999999999E-2</v>
      </c>
      <c r="D35" s="9">
        <f t="shared" si="1"/>
        <v>19.7</v>
      </c>
    </row>
    <row r="36" spans="1:6" ht="14.25" customHeight="1">
      <c r="A36" s="2" t="s">
        <v>38</v>
      </c>
      <c r="B36" s="3" t="s">
        <v>73</v>
      </c>
      <c r="C36" s="23">
        <v>0.01</v>
      </c>
      <c r="D36" s="9">
        <f t="shared" si="1"/>
        <v>13.13</v>
      </c>
    </row>
    <row r="37" spans="1:6" ht="14.25" customHeight="1">
      <c r="A37" s="2" t="s">
        <v>40</v>
      </c>
      <c r="B37" s="3" t="s">
        <v>74</v>
      </c>
      <c r="C37" s="23">
        <v>6.0000000000000001E-3</v>
      </c>
      <c r="D37" s="9">
        <f t="shared" si="1"/>
        <v>7.88</v>
      </c>
    </row>
    <row r="38" spans="1:6" ht="14.25" customHeight="1">
      <c r="A38" s="2" t="s">
        <v>75</v>
      </c>
      <c r="B38" s="3" t="s">
        <v>76</v>
      </c>
      <c r="C38" s="23">
        <v>2E-3</v>
      </c>
      <c r="D38" s="9">
        <f t="shared" si="1"/>
        <v>2.62</v>
      </c>
    </row>
    <row r="39" spans="1:6" ht="14.25" customHeight="1">
      <c r="A39" s="2" t="s">
        <v>77</v>
      </c>
      <c r="B39" s="3" t="s">
        <v>78</v>
      </c>
      <c r="C39" s="23">
        <v>0.08</v>
      </c>
      <c r="D39" s="9">
        <f t="shared" si="1"/>
        <v>105.11</v>
      </c>
    </row>
    <row r="40" spans="1:6" ht="14.25" customHeight="1">
      <c r="A40" s="2" t="s">
        <v>43</v>
      </c>
      <c r="B40" s="3"/>
      <c r="C40" s="23">
        <f>SUBTOTAL(109,Almoxarife!$C$32:$C$39)</f>
        <v>0.39800000000000008</v>
      </c>
      <c r="D40" s="9">
        <f>TRUNC(SUM(D32:D39),2)</f>
        <v>522.88</v>
      </c>
    </row>
    <row r="41" spans="1:6" ht="14.25" customHeight="1">
      <c r="A41" s="14"/>
      <c r="C41" s="24"/>
      <c r="D41" s="15"/>
    </row>
    <row r="42" spans="1:6" ht="14.25" customHeight="1">
      <c r="A42" s="113" t="s">
        <v>83</v>
      </c>
      <c r="B42" s="114"/>
      <c r="C42" s="114"/>
      <c r="D42" s="114"/>
    </row>
    <row r="43" spans="1:6" ht="14.25" customHeight="1">
      <c r="A43" s="2" t="s">
        <v>84</v>
      </c>
      <c r="B43" s="3" t="s">
        <v>85</v>
      </c>
      <c r="C43" s="2" t="s">
        <v>4</v>
      </c>
      <c r="D43" s="2" t="s">
        <v>5</v>
      </c>
    </row>
    <row r="44" spans="1:6" ht="14.25" customHeight="1">
      <c r="A44" s="2" t="s">
        <v>27</v>
      </c>
      <c r="B44" s="3" t="s">
        <v>86</v>
      </c>
      <c r="C44" s="3"/>
      <c r="D44" s="57">
        <f>TRUNC(((G5*G3)*2)-((D5/100)*6),2)</f>
        <v>116.6</v>
      </c>
    </row>
    <row r="45" spans="1:6" ht="14.25" customHeight="1">
      <c r="A45" s="2" t="s">
        <v>30</v>
      </c>
      <c r="B45" s="3" t="s">
        <v>87</v>
      </c>
      <c r="C45" s="3"/>
      <c r="D45" s="57">
        <f>TRUNC((((G5*G4))-(((G5*G4))*0.2)),2)</f>
        <v>281.60000000000002</v>
      </c>
    </row>
    <row r="46" spans="1:6" ht="14.25" customHeight="1">
      <c r="A46" s="2" t="s">
        <v>33</v>
      </c>
      <c r="B46" s="3" t="s">
        <v>88</v>
      </c>
      <c r="C46" s="6" t="s">
        <v>208</v>
      </c>
      <c r="D46" s="57">
        <v>5</v>
      </c>
      <c r="E46" s="140"/>
      <c r="F46" s="36"/>
    </row>
    <row r="47" spans="1:6" ht="14.25" customHeight="1">
      <c r="A47" s="2" t="s">
        <v>35</v>
      </c>
      <c r="B47" s="3" t="s">
        <v>89</v>
      </c>
      <c r="C47" s="6" t="s">
        <v>208</v>
      </c>
      <c r="D47" s="57">
        <v>4</v>
      </c>
    </row>
    <row r="48" spans="1:6" ht="14.25" customHeight="1">
      <c r="A48" s="2" t="s">
        <v>38</v>
      </c>
      <c r="B48" s="3" t="s">
        <v>91</v>
      </c>
      <c r="C48" s="6" t="s">
        <v>208</v>
      </c>
      <c r="D48" s="57">
        <v>15</v>
      </c>
    </row>
    <row r="49" spans="1:5" ht="14.25" customHeight="1">
      <c r="A49" s="2" t="s">
        <v>43</v>
      </c>
      <c r="B49" s="3"/>
      <c r="C49" s="3"/>
      <c r="D49" s="9">
        <f>TRUNC(SUM(D44:D48),2)</f>
        <v>422.2</v>
      </c>
    </row>
    <row r="50" spans="1:5" ht="14.25" customHeight="1">
      <c r="A50" s="14"/>
      <c r="D50" s="15"/>
    </row>
    <row r="51" spans="1:5" ht="14.25" customHeight="1">
      <c r="A51" s="113" t="s">
        <v>97</v>
      </c>
      <c r="B51" s="114"/>
      <c r="C51" s="114"/>
      <c r="D51" s="114"/>
    </row>
    <row r="52" spans="1:5" ht="14.25" customHeight="1">
      <c r="A52" s="2" t="s">
        <v>98</v>
      </c>
      <c r="B52" s="3" t="s">
        <v>99</v>
      </c>
      <c r="C52" s="2" t="s">
        <v>4</v>
      </c>
      <c r="D52" s="2" t="s">
        <v>5</v>
      </c>
    </row>
    <row r="53" spans="1:5" ht="14.25" customHeight="1">
      <c r="A53" s="2" t="s">
        <v>50</v>
      </c>
      <c r="B53" s="3" t="s">
        <v>51</v>
      </c>
      <c r="C53" s="2"/>
      <c r="D53" s="9">
        <f>D24</f>
        <v>213.88</v>
      </c>
    </row>
    <row r="54" spans="1:5" ht="14.25" customHeight="1">
      <c r="A54" s="2" t="s">
        <v>66</v>
      </c>
      <c r="B54" s="3" t="s">
        <v>67</v>
      </c>
      <c r="C54" s="2"/>
      <c r="D54" s="9">
        <f>D40</f>
        <v>522.88</v>
      </c>
    </row>
    <row r="55" spans="1:5" ht="14.25" customHeight="1">
      <c r="A55" s="2" t="s">
        <v>84</v>
      </c>
      <c r="B55" s="3" t="s">
        <v>85</v>
      </c>
      <c r="C55" s="2"/>
      <c r="D55" s="9">
        <f>D49</f>
        <v>422.2</v>
      </c>
    </row>
    <row r="56" spans="1:5" ht="14.25" customHeight="1">
      <c r="A56" s="2" t="s">
        <v>43</v>
      </c>
      <c r="B56" s="3"/>
      <c r="C56" s="2"/>
      <c r="D56" s="9">
        <f>TRUNC(SUM(D53:D55),2)</f>
        <v>1158.96</v>
      </c>
    </row>
    <row r="57" spans="1:5" ht="14.25" customHeight="1"/>
    <row r="58" spans="1:5" ht="14.25" customHeight="1">
      <c r="A58" s="115" t="s">
        <v>100</v>
      </c>
      <c r="B58" s="116"/>
      <c r="C58" s="116"/>
      <c r="D58" s="117"/>
    </row>
    <row r="59" spans="1:5" ht="14.25" customHeight="1">
      <c r="A59" s="2" t="s">
        <v>101</v>
      </c>
      <c r="B59" s="3" t="s">
        <v>102</v>
      </c>
      <c r="C59" s="2" t="s">
        <v>4</v>
      </c>
      <c r="D59" s="2" t="s">
        <v>5</v>
      </c>
    </row>
    <row r="60" spans="1:5" ht="14.25" customHeight="1">
      <c r="A60" s="2" t="s">
        <v>27</v>
      </c>
      <c r="B60" s="59" t="s">
        <v>103</v>
      </c>
      <c r="C60" s="60">
        <f>((1/12)*5%)</f>
        <v>4.1666666666666666E-3</v>
      </c>
      <c r="D60" s="61">
        <f>TRUNC(($D$17*C60),2)</f>
        <v>4.58</v>
      </c>
      <c r="E60" s="140"/>
    </row>
    <row r="61" spans="1:5" ht="14.25" customHeight="1">
      <c r="A61" s="2" t="s">
        <v>30</v>
      </c>
      <c r="B61" s="59" t="s">
        <v>104</v>
      </c>
      <c r="C61" s="51">
        <v>0.08</v>
      </c>
      <c r="D61" s="62">
        <f>TRUNC(D60*C61,2)</f>
        <v>0.36</v>
      </c>
    </row>
    <row r="62" spans="1:5" ht="14.25" customHeight="1">
      <c r="A62" s="2" t="s">
        <v>33</v>
      </c>
      <c r="B62" s="59" t="s">
        <v>105</v>
      </c>
      <c r="C62" s="60">
        <f>(0.08*0.4*0.05)</f>
        <v>1.6000000000000001E-3</v>
      </c>
      <c r="D62" s="61">
        <f t="shared" ref="D62:D63" si="2">TRUNC(($D$17*C62),2)</f>
        <v>1.76</v>
      </c>
      <c r="E62" s="140"/>
    </row>
    <row r="63" spans="1:5" ht="14.25" customHeight="1">
      <c r="A63" s="2" t="s">
        <v>35</v>
      </c>
      <c r="B63" s="59" t="s">
        <v>106</v>
      </c>
      <c r="C63" s="51">
        <f>(((7/30)/12)*0.95)</f>
        <v>1.8472222222222223E-2</v>
      </c>
      <c r="D63" s="62">
        <f t="shared" si="2"/>
        <v>20.309999999999999</v>
      </c>
    </row>
    <row r="64" spans="1:5" ht="14.25" customHeight="1">
      <c r="A64" s="2" t="s">
        <v>38</v>
      </c>
      <c r="B64" s="59" t="s">
        <v>214</v>
      </c>
      <c r="C64" s="51">
        <f>C40</f>
        <v>0.39800000000000008</v>
      </c>
      <c r="D64" s="62">
        <f>TRUNC(D63*C64,2)</f>
        <v>8.08</v>
      </c>
    </row>
    <row r="65" spans="1:5" ht="14.25" customHeight="1">
      <c r="A65" s="2" t="s">
        <v>40</v>
      </c>
      <c r="B65" s="59" t="s">
        <v>107</v>
      </c>
      <c r="C65" s="60">
        <f>(0.08*0.4*0.95)</f>
        <v>3.04E-2</v>
      </c>
      <c r="D65" s="61">
        <f>TRUNC(($D$17*C65),2)</f>
        <v>33.44</v>
      </c>
      <c r="E65" s="140"/>
    </row>
    <row r="66" spans="1:5" ht="14.25" customHeight="1">
      <c r="A66" s="2" t="s">
        <v>43</v>
      </c>
      <c r="B66" s="3"/>
      <c r="C66" s="3"/>
      <c r="D66" s="9">
        <f>TRUNC(SUM(D60:D65),2)</f>
        <v>68.53</v>
      </c>
    </row>
    <row r="67" spans="1:5" ht="14.25" customHeight="1">
      <c r="A67" s="14"/>
      <c r="D67" s="15"/>
    </row>
    <row r="68" spans="1:5" ht="14.25" customHeight="1">
      <c r="A68" s="129" t="s">
        <v>215</v>
      </c>
      <c r="B68" s="130"/>
      <c r="C68" s="52" t="s">
        <v>212</v>
      </c>
      <c r="D68" s="53">
        <f>D17</f>
        <v>1100</v>
      </c>
    </row>
    <row r="69" spans="1:5" ht="14.25" customHeight="1">
      <c r="A69" s="131"/>
      <c r="B69" s="132"/>
      <c r="C69" s="54" t="s">
        <v>216</v>
      </c>
      <c r="D69" s="53">
        <f>D56</f>
        <v>1158.96</v>
      </c>
    </row>
    <row r="70" spans="1:5" ht="14.25" customHeight="1">
      <c r="A70" s="131"/>
      <c r="B70" s="132"/>
      <c r="C70" s="52" t="s">
        <v>217</v>
      </c>
      <c r="D70" s="53">
        <f>D66</f>
        <v>68.53</v>
      </c>
    </row>
    <row r="71" spans="1:5" ht="14.25" customHeight="1">
      <c r="A71" s="133"/>
      <c r="B71" s="134"/>
      <c r="C71" s="54" t="s">
        <v>199</v>
      </c>
      <c r="D71" s="55">
        <f>TRUNC((SUM(D68:D70)),2)</f>
        <v>2327.4899999999998</v>
      </c>
    </row>
    <row r="72" spans="1:5" ht="14.25" customHeight="1">
      <c r="A72" s="14"/>
      <c r="D72" s="15"/>
    </row>
    <row r="73" spans="1:5" ht="14.25" customHeight="1">
      <c r="A73" s="122" t="s">
        <v>119</v>
      </c>
      <c r="B73" s="119"/>
      <c r="C73" s="119"/>
      <c r="D73" s="120"/>
    </row>
    <row r="74" spans="1:5" ht="14.25" customHeight="1">
      <c r="A74" s="113" t="s">
        <v>120</v>
      </c>
      <c r="B74" s="114"/>
      <c r="C74" s="114"/>
      <c r="D74" s="114"/>
    </row>
    <row r="75" spans="1:5" ht="14.25" customHeight="1">
      <c r="A75" s="2" t="s">
        <v>121</v>
      </c>
      <c r="B75" s="3" t="s">
        <v>122</v>
      </c>
      <c r="C75" s="2" t="s">
        <v>123</v>
      </c>
      <c r="D75" s="2" t="s">
        <v>5</v>
      </c>
    </row>
    <row r="76" spans="1:5" ht="14.25" customHeight="1">
      <c r="A76" s="2" t="s">
        <v>27</v>
      </c>
      <c r="B76" s="59" t="s">
        <v>124</v>
      </c>
      <c r="C76" s="60">
        <f>((1+1/3)/12)/12</f>
        <v>9.2592592592592587E-3</v>
      </c>
      <c r="D76" s="64">
        <f t="shared" ref="D76:D81" si="3">TRUNC(($D$71*C76),2)</f>
        <v>21.55</v>
      </c>
      <c r="E76" s="139"/>
    </row>
    <row r="77" spans="1:5" ht="14.25" customHeight="1">
      <c r="A77" s="2" t="s">
        <v>30</v>
      </c>
      <c r="B77" s="59" t="s">
        <v>125</v>
      </c>
      <c r="C77" s="60">
        <f>((2/30)/12)</f>
        <v>5.5555555555555558E-3</v>
      </c>
      <c r="D77" s="64">
        <f t="shared" si="3"/>
        <v>12.93</v>
      </c>
      <c r="E77" s="139"/>
    </row>
    <row r="78" spans="1:5" ht="14.25" customHeight="1">
      <c r="A78" s="2" t="s">
        <v>33</v>
      </c>
      <c r="B78" s="59" t="s">
        <v>126</v>
      </c>
      <c r="C78" s="60">
        <f>(((5/30)/12)*0.02)</f>
        <v>2.7777777777777778E-4</v>
      </c>
      <c r="D78" s="64">
        <f t="shared" si="3"/>
        <v>0.64</v>
      </c>
      <c r="E78" s="139"/>
    </row>
    <row r="79" spans="1:5" ht="14.25" customHeight="1">
      <c r="A79" s="2" t="s">
        <v>35</v>
      </c>
      <c r="B79" s="59" t="s">
        <v>127</v>
      </c>
      <c r="C79" s="60">
        <f>((15/30)/12)*0.08</f>
        <v>3.3333333333333331E-3</v>
      </c>
      <c r="D79" s="64">
        <f t="shared" si="3"/>
        <v>7.75</v>
      </c>
      <c r="E79" s="139"/>
    </row>
    <row r="80" spans="1:5" ht="14.25" customHeight="1">
      <c r="A80" s="2" t="s">
        <v>38</v>
      </c>
      <c r="B80" s="59" t="s">
        <v>128</v>
      </c>
      <c r="C80" s="60">
        <f>((1+1/3)/12)*0.03*((4/12))</f>
        <v>1.1111111111111109E-3</v>
      </c>
      <c r="D80" s="64">
        <f t="shared" si="3"/>
        <v>2.58</v>
      </c>
      <c r="E80" s="139"/>
    </row>
    <row r="81" spans="1:5" ht="14.25" customHeight="1">
      <c r="A81" s="2" t="s">
        <v>40</v>
      </c>
      <c r="B81" s="59" t="s">
        <v>218</v>
      </c>
      <c r="C81" s="60">
        <v>0</v>
      </c>
      <c r="D81" s="64">
        <f t="shared" si="3"/>
        <v>0</v>
      </c>
      <c r="E81" s="139"/>
    </row>
    <row r="82" spans="1:5" ht="14.25" customHeight="1">
      <c r="A82" s="2" t="s">
        <v>43</v>
      </c>
      <c r="B82" s="3"/>
      <c r="C82" s="23">
        <f>SUBTOTAL(109,Almoxarife!$C$76:$C$81)</f>
        <v>1.9537037037037037E-2</v>
      </c>
      <c r="D82" s="9">
        <f>TRUNC(SUM(D76:D81),2)</f>
        <v>45.45</v>
      </c>
    </row>
    <row r="83" spans="1:5" ht="14.25" customHeight="1">
      <c r="A83" s="14"/>
      <c r="C83" s="14"/>
      <c r="D83" s="15"/>
    </row>
    <row r="84" spans="1:5" ht="14.25" customHeight="1">
      <c r="A84" s="113" t="s">
        <v>139</v>
      </c>
      <c r="B84" s="114"/>
      <c r="C84" s="114"/>
      <c r="D84" s="114"/>
    </row>
    <row r="85" spans="1:5" ht="14.25" customHeight="1">
      <c r="A85" s="2" t="s">
        <v>140</v>
      </c>
      <c r="B85" s="3" t="s">
        <v>141</v>
      </c>
      <c r="C85" s="2" t="s">
        <v>4</v>
      </c>
      <c r="D85" s="2" t="s">
        <v>5</v>
      </c>
    </row>
    <row r="86" spans="1:5" ht="14.25" customHeight="1">
      <c r="A86" s="2" t="s">
        <v>27</v>
      </c>
      <c r="B86" s="3" t="s">
        <v>142</v>
      </c>
      <c r="C86" s="2"/>
      <c r="D86" s="9"/>
    </row>
    <row r="87" spans="1:5" ht="14.25" customHeight="1">
      <c r="A87" s="2" t="s">
        <v>43</v>
      </c>
      <c r="B87" s="3"/>
      <c r="C87" s="2"/>
      <c r="D87" s="9">
        <f>SUBTOTAL(109,Almoxarife!$D$86)</f>
        <v>0</v>
      </c>
    </row>
    <row r="88" spans="1:5" ht="14.25" customHeight="1"/>
    <row r="89" spans="1:5" ht="14.25" customHeight="1">
      <c r="A89" s="113" t="s">
        <v>143</v>
      </c>
      <c r="B89" s="114"/>
      <c r="C89" s="114"/>
      <c r="D89" s="114"/>
    </row>
    <row r="90" spans="1:5" ht="14.25" customHeight="1">
      <c r="A90" s="2" t="s">
        <v>144</v>
      </c>
      <c r="B90" s="3" t="s">
        <v>145</v>
      </c>
      <c r="C90" s="2" t="s">
        <v>4</v>
      </c>
      <c r="D90" s="2" t="s">
        <v>5</v>
      </c>
    </row>
    <row r="91" spans="1:5" ht="14.25" customHeight="1">
      <c r="A91" s="2" t="s">
        <v>121</v>
      </c>
      <c r="B91" s="3" t="s">
        <v>122</v>
      </c>
      <c r="C91" s="3"/>
      <c r="D91" s="9">
        <f>D82</f>
        <v>45.45</v>
      </c>
    </row>
    <row r="92" spans="1:5" ht="14.25" customHeight="1">
      <c r="A92" s="2" t="s">
        <v>140</v>
      </c>
      <c r="B92" s="3" t="s">
        <v>146</v>
      </c>
      <c r="C92" s="3"/>
      <c r="D92" s="9">
        <f>Almoxarife!$D$87</f>
        <v>0</v>
      </c>
    </row>
    <row r="93" spans="1:5" ht="14.25" customHeight="1">
      <c r="A93" s="2" t="s">
        <v>43</v>
      </c>
      <c r="B93" s="3"/>
      <c r="C93" s="3"/>
      <c r="D93" s="9">
        <f>TRUNC(SUM(D91:D92),2)</f>
        <v>45.45</v>
      </c>
    </row>
    <row r="94" spans="1:5" ht="14.25" customHeight="1"/>
    <row r="95" spans="1:5" ht="14.25" customHeight="1">
      <c r="A95" s="115" t="s">
        <v>147</v>
      </c>
      <c r="B95" s="116"/>
      <c r="C95" s="116"/>
      <c r="D95" s="117"/>
    </row>
    <row r="96" spans="1:5" ht="14.25" customHeight="1">
      <c r="A96" s="2" t="s">
        <v>148</v>
      </c>
      <c r="B96" s="3" t="s">
        <v>149</v>
      </c>
      <c r="C96" s="2" t="s">
        <v>4</v>
      </c>
      <c r="D96" s="2" t="s">
        <v>5</v>
      </c>
    </row>
    <row r="97" spans="1:7" ht="14.25" customHeight="1">
      <c r="A97" s="2" t="s">
        <v>27</v>
      </c>
      <c r="B97" s="3" t="s">
        <v>219</v>
      </c>
      <c r="C97" s="3"/>
      <c r="D97" s="66">
        <v>10.220000000000001</v>
      </c>
      <c r="E97" s="140"/>
    </row>
    <row r="98" spans="1:7" ht="14.25" customHeight="1">
      <c r="A98" s="2" t="s">
        <v>30</v>
      </c>
      <c r="B98" s="3" t="s">
        <v>151</v>
      </c>
      <c r="C98" s="3"/>
      <c r="D98" s="66">
        <v>0</v>
      </c>
    </row>
    <row r="99" spans="1:7" ht="14.25" customHeight="1">
      <c r="A99" s="2" t="s">
        <v>33</v>
      </c>
      <c r="B99" s="3" t="s">
        <v>152</v>
      </c>
      <c r="C99" s="3"/>
      <c r="D99" s="66">
        <v>0</v>
      </c>
    </row>
    <row r="100" spans="1:7" ht="14.25" customHeight="1">
      <c r="A100" s="2" t="s">
        <v>35</v>
      </c>
      <c r="B100" s="3" t="s">
        <v>220</v>
      </c>
      <c r="C100" s="3"/>
      <c r="D100" s="66">
        <v>0</v>
      </c>
    </row>
    <row r="101" spans="1:7" ht="14.25" customHeight="1">
      <c r="A101" s="2" t="s">
        <v>43</v>
      </c>
      <c r="B101" s="3"/>
      <c r="C101" s="3"/>
      <c r="D101" s="9">
        <f>TRUNC(SUM(D97:D100),2)</f>
        <v>10.220000000000001</v>
      </c>
    </row>
    <row r="102" spans="1:7" ht="14.25" customHeight="1">
      <c r="A102" s="14"/>
      <c r="D102" s="15"/>
    </row>
    <row r="103" spans="1:7" ht="14.25" customHeight="1">
      <c r="A103" s="129" t="s">
        <v>221</v>
      </c>
      <c r="B103" s="130"/>
      <c r="C103" s="52" t="s">
        <v>212</v>
      </c>
      <c r="D103" s="53">
        <f>D17</f>
        <v>1100</v>
      </c>
    </row>
    <row r="104" spans="1:7" ht="14.25" customHeight="1">
      <c r="A104" s="131"/>
      <c r="B104" s="132"/>
      <c r="C104" s="54" t="s">
        <v>216</v>
      </c>
      <c r="D104" s="53">
        <f>D56</f>
        <v>1158.96</v>
      </c>
    </row>
    <row r="105" spans="1:7" ht="14.25" customHeight="1">
      <c r="A105" s="131"/>
      <c r="B105" s="132"/>
      <c r="C105" s="52" t="s">
        <v>217</v>
      </c>
      <c r="D105" s="53">
        <f>D66</f>
        <v>68.53</v>
      </c>
    </row>
    <row r="106" spans="1:7" ht="14.25" customHeight="1">
      <c r="A106" s="131"/>
      <c r="B106" s="132"/>
      <c r="C106" s="54" t="s">
        <v>222</v>
      </c>
      <c r="D106" s="53">
        <f>D93</f>
        <v>45.45</v>
      </c>
    </row>
    <row r="107" spans="1:7" ht="14.25" customHeight="1">
      <c r="A107" s="131"/>
      <c r="B107" s="132"/>
      <c r="C107" s="52" t="s">
        <v>223</v>
      </c>
      <c r="D107" s="53">
        <f>D101</f>
        <v>10.220000000000001</v>
      </c>
    </row>
    <row r="108" spans="1:7" ht="14.25" customHeight="1">
      <c r="A108" s="133"/>
      <c r="B108" s="134"/>
      <c r="C108" s="54" t="s">
        <v>199</v>
      </c>
      <c r="D108" s="55">
        <f>TRUNC((SUM(D103:D107)),2)</f>
        <v>2383.16</v>
      </c>
    </row>
    <row r="109" spans="1:7" ht="14.25" customHeight="1">
      <c r="A109" s="14"/>
      <c r="D109" s="15"/>
    </row>
    <row r="110" spans="1:7" ht="14.25" customHeight="1">
      <c r="A110" s="115" t="s">
        <v>159</v>
      </c>
      <c r="B110" s="116"/>
      <c r="C110" s="116"/>
      <c r="D110" s="117"/>
      <c r="F110" s="135" t="s">
        <v>224</v>
      </c>
      <c r="G110" s="136"/>
    </row>
    <row r="111" spans="1:7" ht="14.25" customHeight="1">
      <c r="A111" s="2" t="s">
        <v>160</v>
      </c>
      <c r="B111" s="3" t="s">
        <v>161</v>
      </c>
      <c r="C111" s="2" t="s">
        <v>23</v>
      </c>
      <c r="D111" s="2" t="s">
        <v>5</v>
      </c>
      <c r="F111" s="67" t="s">
        <v>225</v>
      </c>
      <c r="G111" s="68">
        <f>C114</f>
        <v>8.6499999999999994E-2</v>
      </c>
    </row>
    <row r="112" spans="1:7" ht="14.25" customHeight="1">
      <c r="A112" s="2" t="s">
        <v>27</v>
      </c>
      <c r="B112" s="3" t="s">
        <v>162</v>
      </c>
      <c r="C112" s="56">
        <v>2.2499999999999999E-2</v>
      </c>
      <c r="D112" s="57">
        <f>TRUNC(($D$108*C112),2)</f>
        <v>53.62</v>
      </c>
      <c r="E112" s="140"/>
      <c r="F112" s="69" t="s">
        <v>226</v>
      </c>
      <c r="G112" s="70">
        <f>TRUNC(SUM(D108,D112,D113),2)</f>
        <v>2450.1799999999998</v>
      </c>
    </row>
    <row r="113" spans="1:7" ht="14.25" customHeight="1">
      <c r="A113" s="2" t="s">
        <v>30</v>
      </c>
      <c r="B113" s="3" t="s">
        <v>44</v>
      </c>
      <c r="C113" s="56">
        <v>5.4999999999999997E-3</v>
      </c>
      <c r="D113" s="57">
        <f>TRUNC((D108+D112)*C113,2)</f>
        <v>13.4</v>
      </c>
      <c r="E113" s="140"/>
      <c r="F113" s="67" t="s">
        <v>227</v>
      </c>
      <c r="G113" s="71">
        <f>(100-8.65)/100</f>
        <v>0.91349999999999998</v>
      </c>
    </row>
    <row r="114" spans="1:7" ht="14.25" customHeight="1">
      <c r="A114" s="2" t="s">
        <v>33</v>
      </c>
      <c r="B114" s="3" t="s">
        <v>163</v>
      </c>
      <c r="C114" s="56">
        <f t="shared" ref="C114:D114" si="4">SUM(C115:C117)</f>
        <v>8.6499999999999994E-2</v>
      </c>
      <c r="D114" s="57">
        <f t="shared" si="4"/>
        <v>231.98999999999998</v>
      </c>
      <c r="F114" s="69" t="s">
        <v>224</v>
      </c>
      <c r="G114" s="70">
        <f>TRUNC((G112/G113),2)</f>
        <v>2682.18</v>
      </c>
    </row>
    <row r="115" spans="1:7" ht="14.25" customHeight="1">
      <c r="A115" s="2" t="s">
        <v>164</v>
      </c>
      <c r="B115" s="3" t="s">
        <v>45</v>
      </c>
      <c r="C115" s="56">
        <v>6.4999999999999997E-3</v>
      </c>
      <c r="D115" s="57">
        <f t="shared" ref="D115:D117" si="5">TRUNC(($G$114*C115),2)</f>
        <v>17.43</v>
      </c>
    </row>
    <row r="116" spans="1:7" ht="14.25" customHeight="1">
      <c r="A116" s="2" t="s">
        <v>165</v>
      </c>
      <c r="B116" s="3" t="s">
        <v>47</v>
      </c>
      <c r="C116" s="56">
        <v>0.03</v>
      </c>
      <c r="D116" s="57">
        <f t="shared" si="5"/>
        <v>80.459999999999994</v>
      </c>
    </row>
    <row r="117" spans="1:7" ht="14.25" customHeight="1">
      <c r="A117" s="2" t="s">
        <v>166</v>
      </c>
      <c r="B117" s="3" t="s">
        <v>49</v>
      </c>
      <c r="C117" s="56">
        <v>0.05</v>
      </c>
      <c r="D117" s="57">
        <f t="shared" si="5"/>
        <v>134.1</v>
      </c>
    </row>
    <row r="118" spans="1:7" ht="14.25" customHeight="1">
      <c r="A118" s="2" t="s">
        <v>43</v>
      </c>
      <c r="B118" s="3"/>
      <c r="C118" s="2"/>
      <c r="D118" s="9">
        <f>TRUNC(SUM(D112:D114),2)</f>
        <v>299.01</v>
      </c>
    </row>
    <row r="119" spans="1:7" ht="14.25" customHeight="1">
      <c r="A119" s="14"/>
      <c r="C119" s="14"/>
      <c r="D119" s="15"/>
    </row>
    <row r="120" spans="1:7" ht="14.25" customHeight="1">
      <c r="A120" s="115" t="s">
        <v>167</v>
      </c>
      <c r="B120" s="116"/>
      <c r="C120" s="116"/>
      <c r="D120" s="117"/>
    </row>
    <row r="121" spans="1:7" ht="14.25" customHeight="1">
      <c r="A121" s="2" t="s">
        <v>2</v>
      </c>
      <c r="B121" s="2" t="s">
        <v>168</v>
      </c>
      <c r="C121" s="2" t="s">
        <v>94</v>
      </c>
      <c r="D121" s="2" t="s">
        <v>5</v>
      </c>
    </row>
    <row r="122" spans="1:7" ht="14.25" customHeight="1">
      <c r="A122" s="2" t="s">
        <v>27</v>
      </c>
      <c r="B122" s="3" t="s">
        <v>21</v>
      </c>
      <c r="C122" s="3"/>
      <c r="D122" s="9">
        <f>D17</f>
        <v>1100</v>
      </c>
    </row>
    <row r="123" spans="1:7" ht="14.25" customHeight="1">
      <c r="A123" s="2" t="s">
        <v>30</v>
      </c>
      <c r="B123" s="3" t="s">
        <v>46</v>
      </c>
      <c r="C123" s="3"/>
      <c r="D123" s="9">
        <f>D56</f>
        <v>1158.96</v>
      </c>
    </row>
    <row r="124" spans="1:7" ht="14.25" customHeight="1">
      <c r="A124" s="2" t="s">
        <v>33</v>
      </c>
      <c r="B124" s="3" t="s">
        <v>100</v>
      </c>
      <c r="C124" s="3"/>
      <c r="D124" s="9">
        <f>D66</f>
        <v>68.53</v>
      </c>
    </row>
    <row r="125" spans="1:7" ht="14.25" customHeight="1">
      <c r="A125" s="2" t="s">
        <v>35</v>
      </c>
      <c r="B125" s="3" t="s">
        <v>169</v>
      </c>
      <c r="C125" s="3"/>
      <c r="D125" s="9">
        <f>D93</f>
        <v>45.45</v>
      </c>
    </row>
    <row r="126" spans="1:7" ht="14.25" customHeight="1">
      <c r="A126" s="2" t="s">
        <v>38</v>
      </c>
      <c r="B126" s="3" t="s">
        <v>147</v>
      </c>
      <c r="C126" s="3"/>
      <c r="D126" s="9">
        <f>D101</f>
        <v>10.220000000000001</v>
      </c>
    </row>
    <row r="127" spans="1:7" ht="14.25" customHeight="1">
      <c r="A127" s="3" t="s">
        <v>170</v>
      </c>
      <c r="B127" s="3"/>
      <c r="C127" s="3"/>
      <c r="D127" s="9">
        <f>TRUNC(SUM(D122:D126),2)</f>
        <v>2383.16</v>
      </c>
    </row>
    <row r="128" spans="1:7" ht="14.25" customHeight="1">
      <c r="A128" s="2" t="s">
        <v>40</v>
      </c>
      <c r="B128" s="3" t="s">
        <v>159</v>
      </c>
      <c r="C128" s="3"/>
      <c r="D128" s="9">
        <f>D118</f>
        <v>299.01</v>
      </c>
    </row>
    <row r="129" spans="1:4" ht="14.25" customHeight="1">
      <c r="A129" s="72" t="s">
        <v>171</v>
      </c>
      <c r="B129" s="27"/>
      <c r="C129" s="27"/>
      <c r="D129" s="73">
        <f>TRUNC((SUM(D122:D126)+D128),2)</f>
        <v>2682.17</v>
      </c>
    </row>
    <row r="130" spans="1:4" ht="14.25" customHeight="1"/>
    <row r="131" spans="1:4" ht="14.25" customHeight="1"/>
    <row r="132" spans="1:4" ht="14.25" customHeight="1"/>
    <row r="133" spans="1:4" ht="14.25" customHeight="1"/>
    <row r="134" spans="1:4" ht="14.25" customHeight="1"/>
    <row r="135" spans="1:4" ht="14.25" customHeight="1"/>
    <row r="136" spans="1:4" ht="14.25" customHeight="1"/>
    <row r="137" spans="1:4" ht="14.25" customHeight="1"/>
    <row r="138" spans="1:4" ht="14.25" customHeight="1"/>
    <row r="139" spans="1:4" ht="14.25" customHeight="1"/>
    <row r="140" spans="1:4" ht="14.25" customHeight="1"/>
    <row r="141" spans="1:4" ht="14.25" customHeight="1"/>
    <row r="142" spans="1:4" ht="14.25" customHeight="1"/>
    <row r="143" spans="1:4" ht="14.25" customHeight="1"/>
    <row r="144" spans="1: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">
    <mergeCell ref="A110:D110"/>
    <mergeCell ref="F110:G110"/>
    <mergeCell ref="A120:D120"/>
    <mergeCell ref="A42:D42"/>
    <mergeCell ref="A51:D51"/>
    <mergeCell ref="A58:D58"/>
    <mergeCell ref="A68:B71"/>
    <mergeCell ref="A73:D73"/>
    <mergeCell ref="A74:D74"/>
    <mergeCell ref="A84:D84"/>
    <mergeCell ref="A26:B28"/>
    <mergeCell ref="A30:D30"/>
    <mergeCell ref="A89:D89"/>
    <mergeCell ref="A95:D95"/>
    <mergeCell ref="A103:B108"/>
    <mergeCell ref="A1:D1"/>
    <mergeCell ref="F1:G1"/>
    <mergeCell ref="A9:D9"/>
    <mergeCell ref="A19:D19"/>
    <mergeCell ref="A20:D20"/>
  </mergeCells>
  <pageMargins left="0.511811024" right="0.511811024" top="0.78740157499999996" bottom="0.78740157499999996" header="0" footer="0"/>
  <pageSetup orientation="landscape"/>
  <legacyDrawing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G1000"/>
  <sheetViews>
    <sheetView workbookViewId="0">
      <selection activeCell="F97" sqref="F97"/>
    </sheetView>
  </sheetViews>
  <sheetFormatPr defaultColWidth="12.6640625" defaultRowHeight="15" customHeight="1"/>
  <cols>
    <col min="1" max="1" width="11.5" customWidth="1"/>
    <col min="2" max="2" width="49.1640625" customWidth="1"/>
    <col min="3" max="3" width="24.25" customWidth="1"/>
    <col min="4" max="4" width="18.1640625" customWidth="1"/>
    <col min="5" max="5" width="8" style="138" customWidth="1"/>
    <col min="6" max="6" width="25.6640625" customWidth="1"/>
    <col min="7" max="7" width="10" customWidth="1"/>
    <col min="8" max="26" width="8" customWidth="1"/>
  </cols>
  <sheetData>
    <row r="1" spans="1:7" ht="14.25" customHeight="1">
      <c r="A1" s="110" t="s">
        <v>0</v>
      </c>
      <c r="B1" s="111"/>
      <c r="C1" s="111"/>
      <c r="D1" s="112"/>
      <c r="F1" s="113" t="s">
        <v>1</v>
      </c>
      <c r="G1" s="114"/>
    </row>
    <row r="2" spans="1:7" ht="14.25" customHeight="1">
      <c r="A2" s="2" t="s">
        <v>2</v>
      </c>
      <c r="B2" s="3" t="s">
        <v>3</v>
      </c>
      <c r="C2" s="2" t="s">
        <v>4</v>
      </c>
      <c r="D2" s="2" t="s">
        <v>5</v>
      </c>
      <c r="F2" s="18" t="s">
        <v>3</v>
      </c>
      <c r="G2" s="18" t="s">
        <v>5</v>
      </c>
    </row>
    <row r="3" spans="1:7" ht="14.25" customHeight="1">
      <c r="A3" s="2">
        <v>1</v>
      </c>
      <c r="B3" s="3" t="s">
        <v>6</v>
      </c>
      <c r="C3" s="2" t="s">
        <v>185</v>
      </c>
      <c r="D3" s="2" t="s">
        <v>206</v>
      </c>
      <c r="F3" s="3" t="s">
        <v>8</v>
      </c>
      <c r="G3" s="45">
        <v>4.1500000000000004</v>
      </c>
    </row>
    <row r="4" spans="1:7" ht="14.25" customHeight="1">
      <c r="A4" s="2">
        <v>2</v>
      </c>
      <c r="B4" s="3" t="s">
        <v>9</v>
      </c>
      <c r="C4" s="2"/>
      <c r="D4" s="2">
        <v>4221</v>
      </c>
      <c r="F4" s="3" t="s">
        <v>11</v>
      </c>
      <c r="G4" s="45">
        <v>16</v>
      </c>
    </row>
    <row r="5" spans="1:7" ht="14.25" customHeight="1">
      <c r="A5" s="2">
        <v>3</v>
      </c>
      <c r="B5" s="3" t="s">
        <v>12</v>
      </c>
      <c r="C5" s="2" t="s">
        <v>207</v>
      </c>
      <c r="D5" s="46">
        <v>1100</v>
      </c>
      <c r="F5" s="3" t="s">
        <v>14</v>
      </c>
      <c r="G5" s="47">
        <v>22</v>
      </c>
    </row>
    <row r="6" spans="1:7" ht="14.25" customHeight="1">
      <c r="A6" s="2">
        <v>4</v>
      </c>
      <c r="B6" s="3" t="s">
        <v>15</v>
      </c>
      <c r="C6" s="2" t="s">
        <v>208</v>
      </c>
      <c r="D6" s="2"/>
      <c r="F6" s="3" t="s">
        <v>17</v>
      </c>
      <c r="G6" s="48">
        <v>0.06</v>
      </c>
    </row>
    <row r="7" spans="1:7" ht="14.25" customHeight="1">
      <c r="A7" s="2">
        <v>5</v>
      </c>
      <c r="B7" s="3" t="s">
        <v>18</v>
      </c>
      <c r="C7" s="2"/>
      <c r="D7" s="2" t="s">
        <v>19</v>
      </c>
      <c r="F7" s="3" t="s">
        <v>209</v>
      </c>
      <c r="G7" s="49">
        <v>30</v>
      </c>
    </row>
    <row r="8" spans="1:7" ht="14.25" customHeight="1">
      <c r="F8" s="1"/>
      <c r="G8" s="50"/>
    </row>
    <row r="9" spans="1:7" ht="14.25" customHeight="1">
      <c r="A9" s="115" t="s">
        <v>21</v>
      </c>
      <c r="B9" s="116"/>
      <c r="C9" s="116"/>
      <c r="D9" s="117"/>
      <c r="F9" s="1"/>
      <c r="G9" s="50"/>
    </row>
    <row r="10" spans="1:7" ht="14.25" customHeight="1">
      <c r="A10" s="2" t="s">
        <v>24</v>
      </c>
      <c r="B10" s="3" t="s">
        <v>25</v>
      </c>
      <c r="C10" s="2" t="s">
        <v>4</v>
      </c>
      <c r="D10" s="2" t="s">
        <v>5</v>
      </c>
      <c r="F10" s="1"/>
      <c r="G10" s="50"/>
    </row>
    <row r="11" spans="1:7" ht="14.25" customHeight="1">
      <c r="A11" s="2" t="s">
        <v>27</v>
      </c>
      <c r="B11" s="3" t="s">
        <v>28</v>
      </c>
      <c r="C11" s="2"/>
      <c r="D11" s="9">
        <f>D5</f>
        <v>1100</v>
      </c>
      <c r="F11" s="1"/>
      <c r="G11" s="50"/>
    </row>
    <row r="12" spans="1:7" ht="14.25" customHeight="1">
      <c r="A12" s="2" t="s">
        <v>30</v>
      </c>
      <c r="B12" s="3" t="s">
        <v>31</v>
      </c>
      <c r="C12" s="2"/>
      <c r="D12" s="9"/>
      <c r="F12" s="1"/>
      <c r="G12" s="50"/>
    </row>
    <row r="13" spans="1:7" ht="14.25" customHeight="1">
      <c r="A13" s="2" t="s">
        <v>33</v>
      </c>
      <c r="B13" s="3" t="s">
        <v>34</v>
      </c>
      <c r="C13" s="2"/>
      <c r="D13" s="9"/>
      <c r="F13" s="50"/>
      <c r="G13" s="50"/>
    </row>
    <row r="14" spans="1:7" ht="14.25" customHeight="1">
      <c r="A14" s="2" t="s">
        <v>35</v>
      </c>
      <c r="B14" s="3" t="s">
        <v>36</v>
      </c>
      <c r="C14" s="2"/>
      <c r="D14" s="9"/>
      <c r="F14" s="1"/>
      <c r="G14" s="50"/>
    </row>
    <row r="15" spans="1:7" ht="14.25" customHeight="1">
      <c r="A15" s="2" t="s">
        <v>38</v>
      </c>
      <c r="B15" s="3" t="s">
        <v>39</v>
      </c>
      <c r="C15" s="2"/>
      <c r="D15" s="9"/>
      <c r="F15" s="1"/>
      <c r="G15" s="50"/>
    </row>
    <row r="16" spans="1:7" ht="14.25" customHeight="1">
      <c r="A16" s="2" t="s">
        <v>40</v>
      </c>
      <c r="B16" s="3" t="s">
        <v>210</v>
      </c>
      <c r="C16" s="6"/>
      <c r="D16" s="9"/>
      <c r="F16" s="1"/>
      <c r="G16" s="50"/>
    </row>
    <row r="17" spans="1:7" ht="14.25" customHeight="1">
      <c r="A17" s="2" t="s">
        <v>43</v>
      </c>
      <c r="B17" s="3"/>
      <c r="C17" s="2"/>
      <c r="D17" s="9">
        <f>TRUNC(SUM(D11:D16),2)</f>
        <v>1100</v>
      </c>
      <c r="F17" s="1"/>
      <c r="G17" s="50"/>
    </row>
    <row r="18" spans="1:7" ht="14.25" customHeight="1">
      <c r="F18" s="1"/>
      <c r="G18" s="50"/>
    </row>
    <row r="19" spans="1:7" ht="14.25" customHeight="1">
      <c r="A19" s="118" t="s">
        <v>46</v>
      </c>
      <c r="B19" s="119"/>
      <c r="C19" s="119"/>
      <c r="D19" s="120"/>
      <c r="F19" s="1"/>
      <c r="G19" s="50"/>
    </row>
    <row r="20" spans="1:7" ht="14.25" customHeight="1">
      <c r="A20" s="113" t="s">
        <v>48</v>
      </c>
      <c r="B20" s="114"/>
      <c r="C20" s="114"/>
      <c r="D20" s="114"/>
      <c r="F20" s="1"/>
      <c r="G20" s="50"/>
    </row>
    <row r="21" spans="1:7" ht="14.25" customHeight="1">
      <c r="A21" s="2" t="s">
        <v>50</v>
      </c>
      <c r="B21" s="3" t="s">
        <v>51</v>
      </c>
      <c r="C21" s="2" t="s">
        <v>4</v>
      </c>
      <c r="D21" s="2" t="s">
        <v>5</v>
      </c>
      <c r="F21" s="1"/>
      <c r="G21" s="50"/>
    </row>
    <row r="22" spans="1:7" ht="14.25" customHeight="1">
      <c r="A22" s="2" t="s">
        <v>27</v>
      </c>
      <c r="B22" s="3" t="s">
        <v>52</v>
      </c>
      <c r="C22" s="51">
        <f>(1/12)</f>
        <v>8.3333333333333329E-2</v>
      </c>
      <c r="D22" s="9">
        <f t="shared" ref="D22:D23" si="0">TRUNC($D$17*C22,2)</f>
        <v>91.66</v>
      </c>
      <c r="F22" s="1"/>
      <c r="G22" s="50"/>
    </row>
    <row r="23" spans="1:7" ht="14.25" customHeight="1">
      <c r="A23" s="2" t="s">
        <v>30</v>
      </c>
      <c r="B23" s="3" t="s">
        <v>54</v>
      </c>
      <c r="C23" s="51">
        <f>(((1+1/3)/12))</f>
        <v>0.1111111111111111</v>
      </c>
      <c r="D23" s="9">
        <f t="shared" si="0"/>
        <v>122.22</v>
      </c>
      <c r="E23" s="139"/>
      <c r="F23" s="1"/>
      <c r="G23" s="50"/>
    </row>
    <row r="24" spans="1:7" ht="14.25" customHeight="1">
      <c r="A24" s="2" t="s">
        <v>43</v>
      </c>
      <c r="B24" s="3"/>
      <c r="C24" s="3"/>
      <c r="D24" s="9">
        <f>TRUNC(SUM(D22:D23),2)</f>
        <v>213.88</v>
      </c>
      <c r="F24" s="1"/>
      <c r="G24" s="50"/>
    </row>
    <row r="25" spans="1:7" ht="14.25" customHeight="1">
      <c r="A25" s="14"/>
      <c r="D25" s="15"/>
      <c r="F25" s="1"/>
      <c r="G25" s="50"/>
    </row>
    <row r="26" spans="1:7" ht="14.25" customHeight="1">
      <c r="A26" s="129" t="s">
        <v>211</v>
      </c>
      <c r="B26" s="130"/>
      <c r="C26" s="52" t="s">
        <v>212</v>
      </c>
      <c r="D26" s="53">
        <f>D17</f>
        <v>1100</v>
      </c>
      <c r="F26" s="1"/>
      <c r="G26" s="1"/>
    </row>
    <row r="27" spans="1:7" ht="14.25" customHeight="1">
      <c r="A27" s="131"/>
      <c r="B27" s="132"/>
      <c r="C27" s="54" t="s">
        <v>213</v>
      </c>
      <c r="D27" s="53">
        <f>D24</f>
        <v>213.88</v>
      </c>
      <c r="F27" s="1"/>
      <c r="G27" s="1"/>
    </row>
    <row r="28" spans="1:7" ht="14.25" customHeight="1">
      <c r="A28" s="133"/>
      <c r="B28" s="134"/>
      <c r="C28" s="52" t="s">
        <v>199</v>
      </c>
      <c r="D28" s="55">
        <f>TRUNC(SUM(D26:D27),2)</f>
        <v>1313.88</v>
      </c>
      <c r="F28" s="1"/>
      <c r="G28" s="1"/>
    </row>
    <row r="29" spans="1:7" ht="14.25" customHeight="1">
      <c r="A29" s="14"/>
      <c r="B29" s="14"/>
      <c r="C29" s="22"/>
      <c r="F29" s="1"/>
      <c r="G29" s="1"/>
    </row>
    <row r="30" spans="1:7" ht="14.25" customHeight="1">
      <c r="A30" s="113" t="s">
        <v>65</v>
      </c>
      <c r="B30" s="114"/>
      <c r="C30" s="114"/>
      <c r="D30" s="114"/>
    </row>
    <row r="31" spans="1:7" ht="14.25" customHeight="1">
      <c r="A31" s="2" t="s">
        <v>66</v>
      </c>
      <c r="B31" s="3" t="s">
        <v>67</v>
      </c>
      <c r="C31" s="2" t="s">
        <v>23</v>
      </c>
      <c r="D31" s="2" t="s">
        <v>68</v>
      </c>
    </row>
    <row r="32" spans="1:7" ht="14.25" customHeight="1">
      <c r="A32" s="2" t="s">
        <v>27</v>
      </c>
      <c r="B32" s="3" t="s">
        <v>69</v>
      </c>
      <c r="C32" s="23">
        <v>0.2</v>
      </c>
      <c r="D32" s="9">
        <f t="shared" ref="D32:D39" si="1">TRUNC(($D$28*C32),2)</f>
        <v>262.77</v>
      </c>
    </row>
    <row r="33" spans="1:6" ht="14.25" customHeight="1">
      <c r="A33" s="2" t="s">
        <v>30</v>
      </c>
      <c r="B33" s="3" t="s">
        <v>70</v>
      </c>
      <c r="C33" s="23">
        <v>2.5000000000000001E-2</v>
      </c>
      <c r="D33" s="9">
        <f t="shared" si="1"/>
        <v>32.840000000000003</v>
      </c>
    </row>
    <row r="34" spans="1:6" ht="14.25" customHeight="1">
      <c r="A34" s="2" t="s">
        <v>33</v>
      </c>
      <c r="B34" s="3" t="s">
        <v>71</v>
      </c>
      <c r="C34" s="56">
        <v>0.06</v>
      </c>
      <c r="D34" s="57">
        <f t="shared" si="1"/>
        <v>78.83</v>
      </c>
      <c r="E34" s="140"/>
    </row>
    <row r="35" spans="1:6" ht="14.25" customHeight="1">
      <c r="A35" s="2" t="s">
        <v>35</v>
      </c>
      <c r="B35" s="3" t="s">
        <v>72</v>
      </c>
      <c r="C35" s="23">
        <v>1.4999999999999999E-2</v>
      </c>
      <c r="D35" s="9">
        <f t="shared" si="1"/>
        <v>19.7</v>
      </c>
    </row>
    <row r="36" spans="1:6" ht="14.25" customHeight="1">
      <c r="A36" s="2" t="s">
        <v>38</v>
      </c>
      <c r="B36" s="3" t="s">
        <v>73</v>
      </c>
      <c r="C36" s="23">
        <v>0.01</v>
      </c>
      <c r="D36" s="9">
        <f t="shared" si="1"/>
        <v>13.13</v>
      </c>
    </row>
    <row r="37" spans="1:6" ht="14.25" customHeight="1">
      <c r="A37" s="2" t="s">
        <v>40</v>
      </c>
      <c r="B37" s="3" t="s">
        <v>74</v>
      </c>
      <c r="C37" s="23">
        <v>6.0000000000000001E-3</v>
      </c>
      <c r="D37" s="9">
        <f t="shared" si="1"/>
        <v>7.88</v>
      </c>
    </row>
    <row r="38" spans="1:6" ht="14.25" customHeight="1">
      <c r="A38" s="2" t="s">
        <v>75</v>
      </c>
      <c r="B38" s="3" t="s">
        <v>76</v>
      </c>
      <c r="C38" s="23">
        <v>2E-3</v>
      </c>
      <c r="D38" s="9">
        <f t="shared" si="1"/>
        <v>2.62</v>
      </c>
    </row>
    <row r="39" spans="1:6" ht="14.25" customHeight="1">
      <c r="A39" s="2" t="s">
        <v>77</v>
      </c>
      <c r="B39" s="3" t="s">
        <v>78</v>
      </c>
      <c r="C39" s="23">
        <v>0.08</v>
      </c>
      <c r="D39" s="9">
        <f t="shared" si="1"/>
        <v>105.11</v>
      </c>
    </row>
    <row r="40" spans="1:6" ht="14.25" customHeight="1">
      <c r="A40" s="2" t="s">
        <v>43</v>
      </c>
      <c r="B40" s="3"/>
      <c r="C40" s="23">
        <f>SUBTOTAL(109,Recepcionista!$C$32:$C$39)</f>
        <v>0.39800000000000008</v>
      </c>
      <c r="D40" s="9">
        <f>TRUNC(SUM(D32:D39),2)</f>
        <v>522.88</v>
      </c>
    </row>
    <row r="41" spans="1:6" ht="14.25" customHeight="1">
      <c r="A41" s="14"/>
      <c r="C41" s="24"/>
      <c r="D41" s="15"/>
    </row>
    <row r="42" spans="1:6" ht="14.25" customHeight="1">
      <c r="A42" s="113" t="s">
        <v>83</v>
      </c>
      <c r="B42" s="114"/>
      <c r="C42" s="114"/>
      <c r="D42" s="114"/>
    </row>
    <row r="43" spans="1:6" ht="14.25" customHeight="1">
      <c r="A43" s="2" t="s">
        <v>84</v>
      </c>
      <c r="B43" s="3" t="s">
        <v>85</v>
      </c>
      <c r="C43" s="2" t="s">
        <v>4</v>
      </c>
      <c r="D43" s="2" t="s">
        <v>5</v>
      </c>
    </row>
    <row r="44" spans="1:6" ht="14.25" customHeight="1">
      <c r="A44" s="2" t="s">
        <v>27</v>
      </c>
      <c r="B44" s="3" t="s">
        <v>86</v>
      </c>
      <c r="C44" s="3"/>
      <c r="D44" s="57">
        <f>TRUNC(((G5*G3)*2)-((D5/100)*6),2)</f>
        <v>116.6</v>
      </c>
    </row>
    <row r="45" spans="1:6" ht="14.25" customHeight="1">
      <c r="A45" s="2" t="s">
        <v>30</v>
      </c>
      <c r="B45" s="3" t="s">
        <v>87</v>
      </c>
      <c r="C45" s="3"/>
      <c r="D45" s="57">
        <f>TRUNC((((G5*G4))-(((G5*G4))*0.2)),2)</f>
        <v>281.60000000000002</v>
      </c>
    </row>
    <row r="46" spans="1:6" ht="14.25" customHeight="1">
      <c r="A46" s="2" t="s">
        <v>33</v>
      </c>
      <c r="B46" s="3" t="s">
        <v>88</v>
      </c>
      <c r="C46" s="6" t="s">
        <v>208</v>
      </c>
      <c r="D46" s="57">
        <v>5</v>
      </c>
      <c r="E46" s="140"/>
      <c r="F46" s="36"/>
    </row>
    <row r="47" spans="1:6" ht="14.25" customHeight="1">
      <c r="A47" s="2" t="s">
        <v>35</v>
      </c>
      <c r="B47" s="3" t="s">
        <v>89</v>
      </c>
      <c r="C47" s="6" t="s">
        <v>208</v>
      </c>
      <c r="D47" s="57">
        <v>4</v>
      </c>
    </row>
    <row r="48" spans="1:6" ht="14.25" customHeight="1">
      <c r="A48" s="2" t="s">
        <v>38</v>
      </c>
      <c r="B48" s="3" t="s">
        <v>91</v>
      </c>
      <c r="C48" s="6" t="s">
        <v>208</v>
      </c>
      <c r="D48" s="57">
        <v>15</v>
      </c>
    </row>
    <row r="49" spans="1:5" ht="14.25" customHeight="1">
      <c r="A49" s="2" t="s">
        <v>43</v>
      </c>
      <c r="B49" s="3"/>
      <c r="C49" s="3"/>
      <c r="D49" s="9">
        <f>TRUNC(SUM(D44:D48),2)</f>
        <v>422.2</v>
      </c>
    </row>
    <row r="50" spans="1:5" ht="14.25" customHeight="1">
      <c r="A50" s="14"/>
      <c r="D50" s="15"/>
    </row>
    <row r="51" spans="1:5" ht="14.25" customHeight="1">
      <c r="A51" s="113" t="s">
        <v>97</v>
      </c>
      <c r="B51" s="114"/>
      <c r="C51" s="114"/>
      <c r="D51" s="114"/>
    </row>
    <row r="52" spans="1:5" ht="14.25" customHeight="1">
      <c r="A52" s="2" t="s">
        <v>98</v>
      </c>
      <c r="B52" s="3" t="s">
        <v>99</v>
      </c>
      <c r="C52" s="2" t="s">
        <v>4</v>
      </c>
      <c r="D52" s="2" t="s">
        <v>5</v>
      </c>
    </row>
    <row r="53" spans="1:5" ht="14.25" customHeight="1">
      <c r="A53" s="2" t="s">
        <v>50</v>
      </c>
      <c r="B53" s="3" t="s">
        <v>51</v>
      </c>
      <c r="C53" s="2"/>
      <c r="D53" s="9">
        <f>D24</f>
        <v>213.88</v>
      </c>
    </row>
    <row r="54" spans="1:5" ht="14.25" customHeight="1">
      <c r="A54" s="2" t="s">
        <v>66</v>
      </c>
      <c r="B54" s="3" t="s">
        <v>67</v>
      </c>
      <c r="C54" s="2"/>
      <c r="D54" s="9">
        <f>D40</f>
        <v>522.88</v>
      </c>
    </row>
    <row r="55" spans="1:5" ht="14.25" customHeight="1">
      <c r="A55" s="2" t="s">
        <v>84</v>
      </c>
      <c r="B55" s="3" t="s">
        <v>85</v>
      </c>
      <c r="C55" s="2"/>
      <c r="D55" s="9">
        <f>D49</f>
        <v>422.2</v>
      </c>
    </row>
    <row r="56" spans="1:5" ht="14.25" customHeight="1">
      <c r="A56" s="2" t="s">
        <v>43</v>
      </c>
      <c r="B56" s="3"/>
      <c r="C56" s="2"/>
      <c r="D56" s="9">
        <f>TRUNC(SUM(D53:D55),2)</f>
        <v>1158.96</v>
      </c>
    </row>
    <row r="57" spans="1:5" ht="14.25" customHeight="1"/>
    <row r="58" spans="1:5" ht="14.25" customHeight="1">
      <c r="A58" s="115" t="s">
        <v>100</v>
      </c>
      <c r="B58" s="116"/>
      <c r="C58" s="116"/>
      <c r="D58" s="117"/>
    </row>
    <row r="59" spans="1:5" ht="14.25" customHeight="1">
      <c r="A59" s="2" t="s">
        <v>101</v>
      </c>
      <c r="B59" s="3" t="s">
        <v>102</v>
      </c>
      <c r="C59" s="2" t="s">
        <v>4</v>
      </c>
      <c r="D59" s="2" t="s">
        <v>5</v>
      </c>
    </row>
    <row r="60" spans="1:5" ht="14.25" customHeight="1">
      <c r="A60" s="2" t="s">
        <v>27</v>
      </c>
      <c r="B60" s="59" t="s">
        <v>103</v>
      </c>
      <c r="C60" s="60">
        <f>((1/12)*5%)</f>
        <v>4.1666666666666666E-3</v>
      </c>
      <c r="D60" s="61">
        <f>TRUNC(($D$17*C60),2)</f>
        <v>4.58</v>
      </c>
      <c r="E60" s="140"/>
    </row>
    <row r="61" spans="1:5" ht="14.25" customHeight="1">
      <c r="A61" s="2" t="s">
        <v>30</v>
      </c>
      <c r="B61" s="59" t="s">
        <v>104</v>
      </c>
      <c r="C61" s="51">
        <v>0.08</v>
      </c>
      <c r="D61" s="62">
        <f>TRUNC(D60*C61,2)</f>
        <v>0.36</v>
      </c>
    </row>
    <row r="62" spans="1:5" ht="14.25" customHeight="1">
      <c r="A62" s="2" t="s">
        <v>33</v>
      </c>
      <c r="B62" s="59" t="s">
        <v>105</v>
      </c>
      <c r="C62" s="60">
        <f>(0.08*0.4*0.05)</f>
        <v>1.6000000000000001E-3</v>
      </c>
      <c r="D62" s="61">
        <f t="shared" ref="D62:D63" si="2">TRUNC(($D$17*C62),2)</f>
        <v>1.76</v>
      </c>
      <c r="E62" s="140"/>
    </row>
    <row r="63" spans="1:5" ht="14.25" customHeight="1">
      <c r="A63" s="2" t="s">
        <v>35</v>
      </c>
      <c r="B63" s="59" t="s">
        <v>106</v>
      </c>
      <c r="C63" s="51">
        <f>(((7/30)/12)*0.95)</f>
        <v>1.8472222222222223E-2</v>
      </c>
      <c r="D63" s="62">
        <f t="shared" si="2"/>
        <v>20.309999999999999</v>
      </c>
    </row>
    <row r="64" spans="1:5" ht="14.25" customHeight="1">
      <c r="A64" s="2" t="s">
        <v>38</v>
      </c>
      <c r="B64" s="59" t="s">
        <v>214</v>
      </c>
      <c r="C64" s="51">
        <f>C40</f>
        <v>0.39800000000000008</v>
      </c>
      <c r="D64" s="62">
        <f>TRUNC(D63*C64,2)</f>
        <v>8.08</v>
      </c>
    </row>
    <row r="65" spans="1:5" ht="14.25" customHeight="1">
      <c r="A65" s="2" t="s">
        <v>40</v>
      </c>
      <c r="B65" s="59" t="s">
        <v>107</v>
      </c>
      <c r="C65" s="60">
        <f>(0.08*0.4*0.95)</f>
        <v>3.04E-2</v>
      </c>
      <c r="D65" s="61">
        <f>TRUNC(($D$17*C65),2)</f>
        <v>33.44</v>
      </c>
      <c r="E65" s="140"/>
    </row>
    <row r="66" spans="1:5" ht="14.25" customHeight="1">
      <c r="A66" s="2" t="s">
        <v>43</v>
      </c>
      <c r="B66" s="3"/>
      <c r="C66" s="3"/>
      <c r="D66" s="9">
        <f>TRUNC(SUM(D60:D65),2)</f>
        <v>68.53</v>
      </c>
    </row>
    <row r="67" spans="1:5" ht="14.25" customHeight="1">
      <c r="A67" s="14"/>
      <c r="D67" s="15"/>
    </row>
    <row r="68" spans="1:5" ht="14.25" customHeight="1">
      <c r="A68" s="129" t="s">
        <v>215</v>
      </c>
      <c r="B68" s="130"/>
      <c r="C68" s="52" t="s">
        <v>212</v>
      </c>
      <c r="D68" s="53">
        <f>D17</f>
        <v>1100</v>
      </c>
    </row>
    <row r="69" spans="1:5" ht="14.25" customHeight="1">
      <c r="A69" s="131"/>
      <c r="B69" s="132"/>
      <c r="C69" s="54" t="s">
        <v>216</v>
      </c>
      <c r="D69" s="53">
        <f>D56</f>
        <v>1158.96</v>
      </c>
    </row>
    <row r="70" spans="1:5" ht="14.25" customHeight="1">
      <c r="A70" s="131"/>
      <c r="B70" s="132"/>
      <c r="C70" s="52" t="s">
        <v>217</v>
      </c>
      <c r="D70" s="53">
        <f>D66</f>
        <v>68.53</v>
      </c>
    </row>
    <row r="71" spans="1:5" ht="14.25" customHeight="1">
      <c r="A71" s="133"/>
      <c r="B71" s="134"/>
      <c r="C71" s="54" t="s">
        <v>199</v>
      </c>
      <c r="D71" s="55">
        <f>TRUNC((SUM(D68:D70)),2)</f>
        <v>2327.4899999999998</v>
      </c>
    </row>
    <row r="72" spans="1:5" ht="14.25" customHeight="1">
      <c r="A72" s="14"/>
      <c r="D72" s="15"/>
    </row>
    <row r="73" spans="1:5" ht="14.25" customHeight="1">
      <c r="A73" s="122" t="s">
        <v>119</v>
      </c>
      <c r="B73" s="119"/>
      <c r="C73" s="119"/>
      <c r="D73" s="120"/>
    </row>
    <row r="74" spans="1:5" ht="14.25" customHeight="1">
      <c r="A74" s="113" t="s">
        <v>120</v>
      </c>
      <c r="B74" s="114"/>
      <c r="C74" s="114"/>
      <c r="D74" s="114"/>
    </row>
    <row r="75" spans="1:5" ht="14.25" customHeight="1">
      <c r="A75" s="2" t="s">
        <v>121</v>
      </c>
      <c r="B75" s="3" t="s">
        <v>122</v>
      </c>
      <c r="C75" s="2" t="s">
        <v>123</v>
      </c>
      <c r="D75" s="2" t="s">
        <v>5</v>
      </c>
    </row>
    <row r="76" spans="1:5" ht="14.25" customHeight="1">
      <c r="A76" s="2" t="s">
        <v>27</v>
      </c>
      <c r="B76" s="59" t="s">
        <v>124</v>
      </c>
      <c r="C76" s="60">
        <f>((1+1/3)/12)/12</f>
        <v>9.2592592592592587E-3</v>
      </c>
      <c r="D76" s="64">
        <f t="shared" ref="D76:D81" si="3">TRUNC(($D$71*C76),2)</f>
        <v>21.55</v>
      </c>
      <c r="E76" s="141"/>
    </row>
    <row r="77" spans="1:5" ht="14.25" customHeight="1">
      <c r="A77" s="2" t="s">
        <v>30</v>
      </c>
      <c r="B77" s="59" t="s">
        <v>125</v>
      </c>
      <c r="C77" s="60">
        <f>((2/30)/12)</f>
        <v>5.5555555555555558E-3</v>
      </c>
      <c r="D77" s="64">
        <f t="shared" si="3"/>
        <v>12.93</v>
      </c>
      <c r="E77" s="139"/>
    </row>
    <row r="78" spans="1:5" ht="14.25" customHeight="1">
      <c r="A78" s="2" t="s">
        <v>33</v>
      </c>
      <c r="B78" s="59" t="s">
        <v>126</v>
      </c>
      <c r="C78" s="60">
        <f>(((5/30)/12)*0.02)</f>
        <v>2.7777777777777778E-4</v>
      </c>
      <c r="D78" s="64">
        <f t="shared" si="3"/>
        <v>0.64</v>
      </c>
      <c r="E78" s="139"/>
    </row>
    <row r="79" spans="1:5" ht="14.25" customHeight="1">
      <c r="A79" s="2" t="s">
        <v>35</v>
      </c>
      <c r="B79" s="59" t="s">
        <v>127</v>
      </c>
      <c r="C79" s="60">
        <f>((15/30)/12)*0.08</f>
        <v>3.3333333333333331E-3</v>
      </c>
      <c r="D79" s="64">
        <f t="shared" si="3"/>
        <v>7.75</v>
      </c>
      <c r="E79" s="139"/>
    </row>
    <row r="80" spans="1:5" ht="14.25" customHeight="1">
      <c r="A80" s="2" t="s">
        <v>38</v>
      </c>
      <c r="B80" s="59" t="s">
        <v>128</v>
      </c>
      <c r="C80" s="60">
        <f>((1+1/3)/12)*0.03*((4/12))</f>
        <v>1.1111111111111109E-3</v>
      </c>
      <c r="D80" s="64">
        <f t="shared" si="3"/>
        <v>2.58</v>
      </c>
      <c r="E80" s="139"/>
    </row>
    <row r="81" spans="1:5" ht="14.25" customHeight="1">
      <c r="A81" s="2" t="s">
        <v>40</v>
      </c>
      <c r="B81" s="59" t="s">
        <v>218</v>
      </c>
      <c r="C81" s="60">
        <v>0</v>
      </c>
      <c r="D81" s="64">
        <f t="shared" si="3"/>
        <v>0</v>
      </c>
      <c r="E81" s="139"/>
    </row>
    <row r="82" spans="1:5" ht="14.25" customHeight="1">
      <c r="A82" s="2" t="s">
        <v>43</v>
      </c>
      <c r="B82" s="3"/>
      <c r="C82" s="23">
        <f>SUBTOTAL(109,Recepcionista!$C$76:$C$81)</f>
        <v>1.9537037037037037E-2</v>
      </c>
      <c r="D82" s="9">
        <f>TRUNC(SUM(D76:D81),2)</f>
        <v>45.45</v>
      </c>
    </row>
    <row r="83" spans="1:5" ht="14.25" customHeight="1">
      <c r="A83" s="14"/>
      <c r="C83" s="14"/>
      <c r="D83" s="15"/>
    </row>
    <row r="84" spans="1:5" ht="14.25" customHeight="1">
      <c r="A84" s="113" t="s">
        <v>139</v>
      </c>
      <c r="B84" s="114"/>
      <c r="C84" s="114"/>
      <c r="D84" s="114"/>
    </row>
    <row r="85" spans="1:5" ht="14.25" customHeight="1">
      <c r="A85" s="2" t="s">
        <v>140</v>
      </c>
      <c r="B85" s="3" t="s">
        <v>141</v>
      </c>
      <c r="C85" s="2" t="s">
        <v>4</v>
      </c>
      <c r="D85" s="2" t="s">
        <v>5</v>
      </c>
    </row>
    <row r="86" spans="1:5" ht="14.25" customHeight="1">
      <c r="A86" s="2" t="s">
        <v>27</v>
      </c>
      <c r="B86" s="3" t="s">
        <v>142</v>
      </c>
      <c r="C86" s="2"/>
      <c r="D86" s="9"/>
    </row>
    <row r="87" spans="1:5" ht="14.25" customHeight="1">
      <c r="A87" s="2" t="s">
        <v>43</v>
      </c>
      <c r="B87" s="3"/>
      <c r="C87" s="2"/>
      <c r="D87" s="9">
        <f>SUBTOTAL(109,Recepcionista!$D$86)</f>
        <v>0</v>
      </c>
    </row>
    <row r="88" spans="1:5" ht="14.25" customHeight="1"/>
    <row r="89" spans="1:5" ht="14.25" customHeight="1">
      <c r="A89" s="113" t="s">
        <v>143</v>
      </c>
      <c r="B89" s="114"/>
      <c r="C89" s="114"/>
      <c r="D89" s="114"/>
    </row>
    <row r="90" spans="1:5" ht="14.25" customHeight="1">
      <c r="A90" s="2" t="s">
        <v>144</v>
      </c>
      <c r="B90" s="3" t="s">
        <v>145</v>
      </c>
      <c r="C90" s="2" t="s">
        <v>4</v>
      </c>
      <c r="D90" s="2" t="s">
        <v>5</v>
      </c>
    </row>
    <row r="91" spans="1:5" ht="14.25" customHeight="1">
      <c r="A91" s="2" t="s">
        <v>121</v>
      </c>
      <c r="B91" s="3" t="s">
        <v>122</v>
      </c>
      <c r="C91" s="3"/>
      <c r="D91" s="9">
        <f>D82</f>
        <v>45.45</v>
      </c>
    </row>
    <row r="92" spans="1:5" ht="14.25" customHeight="1">
      <c r="A92" s="2" t="s">
        <v>140</v>
      </c>
      <c r="B92" s="3" t="s">
        <v>146</v>
      </c>
      <c r="C92" s="3"/>
      <c r="D92" s="9">
        <f>Recepcionista!$D$87</f>
        <v>0</v>
      </c>
    </row>
    <row r="93" spans="1:5" ht="14.25" customHeight="1">
      <c r="A93" s="2" t="s">
        <v>43</v>
      </c>
      <c r="B93" s="3"/>
      <c r="C93" s="3"/>
      <c r="D93" s="9">
        <f>TRUNC(SUM(D91:D92),2)</f>
        <v>45.45</v>
      </c>
    </row>
    <row r="94" spans="1:5" ht="14.25" customHeight="1"/>
    <row r="95" spans="1:5" ht="14.25" customHeight="1">
      <c r="A95" s="115" t="s">
        <v>147</v>
      </c>
      <c r="B95" s="116"/>
      <c r="C95" s="116"/>
      <c r="D95" s="117"/>
    </row>
    <row r="96" spans="1:5" ht="14.25" customHeight="1">
      <c r="A96" s="2" t="s">
        <v>148</v>
      </c>
      <c r="B96" s="3" t="s">
        <v>149</v>
      </c>
      <c r="C96" s="2" t="s">
        <v>4</v>
      </c>
      <c r="D96" s="2" t="s">
        <v>5</v>
      </c>
    </row>
    <row r="97" spans="1:7" ht="14.25" customHeight="1">
      <c r="A97" s="2" t="s">
        <v>27</v>
      </c>
      <c r="B97" s="3" t="s">
        <v>219</v>
      </c>
      <c r="C97" s="3"/>
      <c r="D97" s="66">
        <v>10.220000000000001</v>
      </c>
      <c r="E97" s="140"/>
      <c r="F97" s="36"/>
    </row>
    <row r="98" spans="1:7" ht="14.25" customHeight="1">
      <c r="A98" s="2" t="s">
        <v>30</v>
      </c>
      <c r="B98" s="3" t="s">
        <v>151</v>
      </c>
      <c r="C98" s="3"/>
      <c r="D98" s="66">
        <v>0</v>
      </c>
    </row>
    <row r="99" spans="1:7" ht="14.25" customHeight="1">
      <c r="A99" s="2" t="s">
        <v>33</v>
      </c>
      <c r="B99" s="3" t="s">
        <v>152</v>
      </c>
      <c r="C99" s="3"/>
      <c r="D99" s="66">
        <v>0</v>
      </c>
    </row>
    <row r="100" spans="1:7" ht="14.25" customHeight="1">
      <c r="A100" s="2" t="s">
        <v>35</v>
      </c>
      <c r="B100" s="3" t="s">
        <v>220</v>
      </c>
      <c r="C100" s="3"/>
      <c r="D100" s="66">
        <v>0</v>
      </c>
    </row>
    <row r="101" spans="1:7" ht="14.25" customHeight="1">
      <c r="A101" s="2" t="s">
        <v>43</v>
      </c>
      <c r="B101" s="3"/>
      <c r="C101" s="3"/>
      <c r="D101" s="9">
        <f>TRUNC(SUM(D97:D100),2)</f>
        <v>10.220000000000001</v>
      </c>
    </row>
    <row r="102" spans="1:7" ht="14.25" customHeight="1">
      <c r="A102" s="14"/>
      <c r="D102" s="15"/>
    </row>
    <row r="103" spans="1:7" ht="14.25" customHeight="1">
      <c r="A103" s="129" t="s">
        <v>221</v>
      </c>
      <c r="B103" s="130"/>
      <c r="C103" s="52" t="s">
        <v>212</v>
      </c>
      <c r="D103" s="53">
        <f>D17</f>
        <v>1100</v>
      </c>
    </row>
    <row r="104" spans="1:7" ht="14.25" customHeight="1">
      <c r="A104" s="131"/>
      <c r="B104" s="132"/>
      <c r="C104" s="54" t="s">
        <v>216</v>
      </c>
      <c r="D104" s="53">
        <f>D56</f>
        <v>1158.96</v>
      </c>
    </row>
    <row r="105" spans="1:7" ht="14.25" customHeight="1">
      <c r="A105" s="131"/>
      <c r="B105" s="132"/>
      <c r="C105" s="52" t="s">
        <v>217</v>
      </c>
      <c r="D105" s="53">
        <f>D66</f>
        <v>68.53</v>
      </c>
    </row>
    <row r="106" spans="1:7" ht="14.25" customHeight="1">
      <c r="A106" s="131"/>
      <c r="B106" s="132"/>
      <c r="C106" s="54" t="s">
        <v>222</v>
      </c>
      <c r="D106" s="53">
        <f>D93</f>
        <v>45.45</v>
      </c>
    </row>
    <row r="107" spans="1:7" ht="14.25" customHeight="1">
      <c r="A107" s="131"/>
      <c r="B107" s="132"/>
      <c r="C107" s="52" t="s">
        <v>223</v>
      </c>
      <c r="D107" s="53">
        <f>D101</f>
        <v>10.220000000000001</v>
      </c>
    </row>
    <row r="108" spans="1:7" ht="14.25" customHeight="1">
      <c r="A108" s="133"/>
      <c r="B108" s="134"/>
      <c r="C108" s="54" t="s">
        <v>199</v>
      </c>
      <c r="D108" s="55">
        <f>TRUNC((SUM(D103:D107)),2)</f>
        <v>2383.16</v>
      </c>
    </row>
    <row r="109" spans="1:7" ht="14.25" customHeight="1">
      <c r="A109" s="14"/>
      <c r="D109" s="15"/>
    </row>
    <row r="110" spans="1:7" ht="14.25" customHeight="1">
      <c r="A110" s="115" t="s">
        <v>159</v>
      </c>
      <c r="B110" s="116"/>
      <c r="C110" s="116"/>
      <c r="D110" s="117"/>
      <c r="F110" s="135" t="s">
        <v>224</v>
      </c>
      <c r="G110" s="136"/>
    </row>
    <row r="111" spans="1:7" ht="14.25" customHeight="1">
      <c r="A111" s="2" t="s">
        <v>160</v>
      </c>
      <c r="B111" s="3" t="s">
        <v>161</v>
      </c>
      <c r="C111" s="2" t="s">
        <v>23</v>
      </c>
      <c r="D111" s="2" t="s">
        <v>5</v>
      </c>
      <c r="F111" s="67" t="s">
        <v>225</v>
      </c>
      <c r="G111" s="68">
        <f>C114</f>
        <v>8.6499999999999994E-2</v>
      </c>
    </row>
    <row r="112" spans="1:7" ht="14.25" customHeight="1">
      <c r="A112" s="2" t="s">
        <v>27</v>
      </c>
      <c r="B112" s="3" t="s">
        <v>162</v>
      </c>
      <c r="C112" s="56">
        <v>2.2499999999999999E-2</v>
      </c>
      <c r="D112" s="57">
        <f>TRUNC(($D$108*C112),2)</f>
        <v>53.62</v>
      </c>
      <c r="E112" s="140"/>
      <c r="F112" s="69" t="s">
        <v>226</v>
      </c>
      <c r="G112" s="70">
        <f>TRUNC(SUM(D108,D112,D113),2)</f>
        <v>2450.1799999999998</v>
      </c>
    </row>
    <row r="113" spans="1:7" ht="14.25" customHeight="1">
      <c r="A113" s="2" t="s">
        <v>30</v>
      </c>
      <c r="B113" s="3" t="s">
        <v>44</v>
      </c>
      <c r="C113" s="56">
        <v>5.4999999999999997E-3</v>
      </c>
      <c r="D113" s="57">
        <f>TRUNC((D108+D112)*C113,2)</f>
        <v>13.4</v>
      </c>
      <c r="E113" s="140"/>
      <c r="F113" s="67" t="s">
        <v>227</v>
      </c>
      <c r="G113" s="71">
        <f>(100-8.65)/100</f>
        <v>0.91349999999999998</v>
      </c>
    </row>
    <row r="114" spans="1:7" ht="14.25" customHeight="1">
      <c r="A114" s="2" t="s">
        <v>33</v>
      </c>
      <c r="B114" s="3" t="s">
        <v>163</v>
      </c>
      <c r="C114" s="56">
        <f t="shared" ref="C114:D114" si="4">SUM(C115:C117)</f>
        <v>8.6499999999999994E-2</v>
      </c>
      <c r="D114" s="57">
        <f t="shared" si="4"/>
        <v>231.98999999999998</v>
      </c>
      <c r="F114" s="69" t="s">
        <v>224</v>
      </c>
      <c r="G114" s="70">
        <f>TRUNC((G112/G113),2)</f>
        <v>2682.18</v>
      </c>
    </row>
    <row r="115" spans="1:7" ht="14.25" customHeight="1">
      <c r="A115" s="2" t="s">
        <v>164</v>
      </c>
      <c r="B115" s="3" t="s">
        <v>45</v>
      </c>
      <c r="C115" s="56">
        <v>6.4999999999999997E-3</v>
      </c>
      <c r="D115" s="57">
        <f t="shared" ref="D115:D117" si="5">TRUNC(($G$114*C115),2)</f>
        <v>17.43</v>
      </c>
    </row>
    <row r="116" spans="1:7" ht="14.25" customHeight="1">
      <c r="A116" s="2" t="s">
        <v>165</v>
      </c>
      <c r="B116" s="3" t="s">
        <v>47</v>
      </c>
      <c r="C116" s="56">
        <v>0.03</v>
      </c>
      <c r="D116" s="57">
        <f t="shared" si="5"/>
        <v>80.459999999999994</v>
      </c>
    </row>
    <row r="117" spans="1:7" ht="14.25" customHeight="1">
      <c r="A117" s="2" t="s">
        <v>166</v>
      </c>
      <c r="B117" s="3" t="s">
        <v>49</v>
      </c>
      <c r="C117" s="56">
        <v>0.05</v>
      </c>
      <c r="D117" s="57">
        <f t="shared" si="5"/>
        <v>134.1</v>
      </c>
    </row>
    <row r="118" spans="1:7" ht="14.25" customHeight="1">
      <c r="A118" s="2" t="s">
        <v>43</v>
      </c>
      <c r="B118" s="3"/>
      <c r="C118" s="2"/>
      <c r="D118" s="9">
        <f>TRUNC(SUM(D112:D114),2)</f>
        <v>299.01</v>
      </c>
    </row>
    <row r="119" spans="1:7" ht="14.25" customHeight="1">
      <c r="A119" s="14"/>
      <c r="C119" s="14"/>
      <c r="D119" s="15"/>
    </row>
    <row r="120" spans="1:7" ht="14.25" customHeight="1">
      <c r="A120" s="115" t="s">
        <v>167</v>
      </c>
      <c r="B120" s="116"/>
      <c r="C120" s="116"/>
      <c r="D120" s="117"/>
    </row>
    <row r="121" spans="1:7" ht="14.25" customHeight="1">
      <c r="A121" s="2" t="s">
        <v>2</v>
      </c>
      <c r="B121" s="2" t="s">
        <v>168</v>
      </c>
      <c r="C121" s="2" t="s">
        <v>94</v>
      </c>
      <c r="D121" s="2" t="s">
        <v>5</v>
      </c>
    </row>
    <row r="122" spans="1:7" ht="14.25" customHeight="1">
      <c r="A122" s="2" t="s">
        <v>27</v>
      </c>
      <c r="B122" s="3" t="s">
        <v>21</v>
      </c>
      <c r="C122" s="3"/>
      <c r="D122" s="9">
        <f>D17</f>
        <v>1100</v>
      </c>
    </row>
    <row r="123" spans="1:7" ht="14.25" customHeight="1">
      <c r="A123" s="2" t="s">
        <v>30</v>
      </c>
      <c r="B123" s="3" t="s">
        <v>46</v>
      </c>
      <c r="C123" s="3"/>
      <c r="D123" s="9">
        <f>D56</f>
        <v>1158.96</v>
      </c>
    </row>
    <row r="124" spans="1:7" ht="14.25" customHeight="1">
      <c r="A124" s="2" t="s">
        <v>33</v>
      </c>
      <c r="B124" s="3" t="s">
        <v>100</v>
      </c>
      <c r="C124" s="3"/>
      <c r="D124" s="9">
        <f>D66</f>
        <v>68.53</v>
      </c>
    </row>
    <row r="125" spans="1:7" ht="14.25" customHeight="1">
      <c r="A125" s="2" t="s">
        <v>35</v>
      </c>
      <c r="B125" s="3" t="s">
        <v>169</v>
      </c>
      <c r="C125" s="3"/>
      <c r="D125" s="9">
        <f>D93</f>
        <v>45.45</v>
      </c>
    </row>
    <row r="126" spans="1:7" ht="14.25" customHeight="1">
      <c r="A126" s="2" t="s">
        <v>38</v>
      </c>
      <c r="B126" s="3" t="s">
        <v>147</v>
      </c>
      <c r="C126" s="3"/>
      <c r="D126" s="9">
        <f>D101</f>
        <v>10.220000000000001</v>
      </c>
    </row>
    <row r="127" spans="1:7" ht="14.25" customHeight="1">
      <c r="A127" s="3" t="s">
        <v>170</v>
      </c>
      <c r="B127" s="3"/>
      <c r="C127" s="3"/>
      <c r="D127" s="9">
        <f>TRUNC(SUM(D122:D126),2)</f>
        <v>2383.16</v>
      </c>
    </row>
    <row r="128" spans="1:7" ht="14.25" customHeight="1">
      <c r="A128" s="2" t="s">
        <v>40</v>
      </c>
      <c r="B128" s="3" t="s">
        <v>159</v>
      </c>
      <c r="C128" s="3"/>
      <c r="D128" s="9">
        <f>D118</f>
        <v>299.01</v>
      </c>
    </row>
    <row r="129" spans="1:4" ht="14.25" customHeight="1">
      <c r="A129" s="72" t="s">
        <v>171</v>
      </c>
      <c r="B129" s="27"/>
      <c r="C129" s="27"/>
      <c r="D129" s="73">
        <f>TRUNC((SUM(D122:D126)+D128),2)</f>
        <v>2682.17</v>
      </c>
    </row>
    <row r="130" spans="1:4" ht="14.25" customHeight="1"/>
    <row r="131" spans="1:4" ht="14.25" customHeight="1"/>
    <row r="132" spans="1:4" ht="14.25" customHeight="1"/>
    <row r="133" spans="1:4" ht="14.25" customHeight="1"/>
    <row r="134" spans="1:4" ht="14.25" customHeight="1"/>
    <row r="135" spans="1:4" ht="14.25" customHeight="1"/>
    <row r="136" spans="1:4" ht="14.25" customHeight="1"/>
    <row r="137" spans="1:4" ht="14.25" customHeight="1"/>
    <row r="138" spans="1:4" ht="14.25" customHeight="1"/>
    <row r="139" spans="1:4" ht="14.25" customHeight="1"/>
    <row r="140" spans="1:4" ht="14.25" customHeight="1"/>
    <row r="141" spans="1:4" ht="14.25" customHeight="1"/>
    <row r="142" spans="1:4" ht="14.25" customHeight="1"/>
    <row r="143" spans="1:4" ht="14.25" customHeight="1"/>
    <row r="144" spans="1: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">
    <mergeCell ref="A110:D110"/>
    <mergeCell ref="F110:G110"/>
    <mergeCell ref="A120:D120"/>
    <mergeCell ref="A42:D42"/>
    <mergeCell ref="A51:D51"/>
    <mergeCell ref="A58:D58"/>
    <mergeCell ref="A68:B71"/>
    <mergeCell ref="A73:D73"/>
    <mergeCell ref="A74:D74"/>
    <mergeCell ref="A84:D84"/>
    <mergeCell ref="A26:B28"/>
    <mergeCell ref="A30:D30"/>
    <mergeCell ref="A89:D89"/>
    <mergeCell ref="A95:D95"/>
    <mergeCell ref="A103:B108"/>
    <mergeCell ref="A1:D1"/>
    <mergeCell ref="F1:G1"/>
    <mergeCell ref="A9:D9"/>
    <mergeCell ref="A19:D19"/>
    <mergeCell ref="A20:D20"/>
  </mergeCells>
  <pageMargins left="0.511811024" right="0.511811024" top="0.78740157499999996" bottom="0.78740157499999996" header="0" footer="0"/>
  <pageSetup orientation="landscape"/>
  <legacyDrawing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G1000"/>
  <sheetViews>
    <sheetView workbookViewId="0">
      <selection activeCell="F46" sqref="F46"/>
    </sheetView>
  </sheetViews>
  <sheetFormatPr defaultColWidth="12.6640625" defaultRowHeight="15" customHeight="1"/>
  <cols>
    <col min="1" max="1" width="11.5" customWidth="1"/>
    <col min="2" max="2" width="49.1640625" customWidth="1"/>
    <col min="3" max="3" width="24.25" customWidth="1"/>
    <col min="4" max="4" width="18.1640625" customWidth="1"/>
    <col min="5" max="5" width="8" style="138" customWidth="1"/>
    <col min="6" max="6" width="25.6640625" customWidth="1"/>
    <col min="7" max="7" width="10" customWidth="1"/>
    <col min="8" max="26" width="8" customWidth="1"/>
  </cols>
  <sheetData>
    <row r="1" spans="1:7" ht="14.25" customHeight="1">
      <c r="A1" s="110" t="s">
        <v>0</v>
      </c>
      <c r="B1" s="111"/>
      <c r="C1" s="111"/>
      <c r="D1" s="112"/>
      <c r="F1" s="113" t="s">
        <v>1</v>
      </c>
      <c r="G1" s="114"/>
    </row>
    <row r="2" spans="1:7" ht="14.25" customHeight="1">
      <c r="A2" s="2" t="s">
        <v>2</v>
      </c>
      <c r="B2" s="3" t="s">
        <v>3</v>
      </c>
      <c r="C2" s="2" t="s">
        <v>4</v>
      </c>
      <c r="D2" s="2" t="s">
        <v>5</v>
      </c>
      <c r="F2" s="18" t="s">
        <v>3</v>
      </c>
      <c r="G2" s="18" t="s">
        <v>5</v>
      </c>
    </row>
    <row r="3" spans="1:7" ht="14.25" customHeight="1">
      <c r="A3" s="2">
        <v>1</v>
      </c>
      <c r="B3" s="3" t="s">
        <v>6</v>
      </c>
      <c r="C3" s="2" t="s">
        <v>186</v>
      </c>
      <c r="D3" s="2" t="s">
        <v>206</v>
      </c>
      <c r="F3" s="3" t="s">
        <v>8</v>
      </c>
      <c r="G3" s="45">
        <v>4.1500000000000004</v>
      </c>
    </row>
    <row r="4" spans="1:7" ht="14.25" customHeight="1">
      <c r="A4" s="2">
        <v>2</v>
      </c>
      <c r="B4" s="3" t="s">
        <v>9</v>
      </c>
      <c r="C4" s="2"/>
      <c r="D4" s="2" t="s">
        <v>187</v>
      </c>
      <c r="F4" s="3" t="s">
        <v>11</v>
      </c>
      <c r="G4" s="45">
        <v>16</v>
      </c>
    </row>
    <row r="5" spans="1:7" ht="14.25" customHeight="1">
      <c r="A5" s="2">
        <v>3</v>
      </c>
      <c r="B5" s="3" t="s">
        <v>12</v>
      </c>
      <c r="C5" s="2" t="s">
        <v>229</v>
      </c>
      <c r="D5" s="46">
        <v>1100</v>
      </c>
      <c r="F5" s="3" t="s">
        <v>14</v>
      </c>
      <c r="G5" s="47">
        <v>22</v>
      </c>
    </row>
    <row r="6" spans="1:7" ht="14.25" customHeight="1">
      <c r="A6" s="2">
        <v>4</v>
      </c>
      <c r="B6" s="3" t="s">
        <v>15</v>
      </c>
      <c r="C6" s="2" t="s">
        <v>208</v>
      </c>
      <c r="D6" s="2"/>
      <c r="F6" s="3" t="s">
        <v>17</v>
      </c>
      <c r="G6" s="48">
        <v>0.06</v>
      </c>
    </row>
    <row r="7" spans="1:7" ht="14.25" customHeight="1">
      <c r="A7" s="2">
        <v>5</v>
      </c>
      <c r="B7" s="3" t="s">
        <v>18</v>
      </c>
      <c r="C7" s="2"/>
      <c r="D7" s="2" t="s">
        <v>19</v>
      </c>
      <c r="F7" s="3" t="s">
        <v>209</v>
      </c>
      <c r="G7" s="49">
        <v>1</v>
      </c>
    </row>
    <row r="8" spans="1:7" ht="14.25" customHeight="1">
      <c r="F8" s="1"/>
      <c r="G8" s="50"/>
    </row>
    <row r="9" spans="1:7" ht="14.25" customHeight="1">
      <c r="A9" s="115" t="s">
        <v>21</v>
      </c>
      <c r="B9" s="116"/>
      <c r="C9" s="116"/>
      <c r="D9" s="117"/>
      <c r="F9" s="1"/>
      <c r="G9" s="50"/>
    </row>
    <row r="10" spans="1:7" ht="14.25" customHeight="1">
      <c r="A10" s="2" t="s">
        <v>24</v>
      </c>
      <c r="B10" s="3" t="s">
        <v>25</v>
      </c>
      <c r="C10" s="2" t="s">
        <v>4</v>
      </c>
      <c r="D10" s="2" t="s">
        <v>5</v>
      </c>
      <c r="F10" s="1"/>
      <c r="G10" s="50"/>
    </row>
    <row r="11" spans="1:7" ht="14.25" customHeight="1">
      <c r="A11" s="2" t="s">
        <v>27</v>
      </c>
      <c r="B11" s="3" t="s">
        <v>28</v>
      </c>
      <c r="C11" s="2"/>
      <c r="D11" s="9">
        <f>D5</f>
        <v>1100</v>
      </c>
      <c r="F11" s="1"/>
      <c r="G11" s="50"/>
    </row>
    <row r="12" spans="1:7" ht="14.25" customHeight="1">
      <c r="A12" s="2" t="s">
        <v>30</v>
      </c>
      <c r="B12" s="3" t="s">
        <v>31</v>
      </c>
      <c r="C12" s="2"/>
      <c r="D12" s="9"/>
      <c r="F12" s="1"/>
      <c r="G12" s="50"/>
    </row>
    <row r="13" spans="1:7" ht="14.25" customHeight="1">
      <c r="A13" s="2" t="s">
        <v>33</v>
      </c>
      <c r="B13" s="3" t="s">
        <v>34</v>
      </c>
      <c r="C13" s="2"/>
      <c r="D13" s="9"/>
      <c r="F13" s="1"/>
      <c r="G13" s="50"/>
    </row>
    <row r="14" spans="1:7" ht="14.25" customHeight="1">
      <c r="A14" s="2" t="s">
        <v>35</v>
      </c>
      <c r="B14" s="3" t="s">
        <v>36</v>
      </c>
      <c r="C14" s="2"/>
      <c r="D14" s="9"/>
      <c r="F14" s="1"/>
      <c r="G14" s="50"/>
    </row>
    <row r="15" spans="1:7" ht="14.25" customHeight="1">
      <c r="A15" s="2" t="s">
        <v>38</v>
      </c>
      <c r="B15" s="3" t="s">
        <v>39</v>
      </c>
      <c r="C15" s="2"/>
      <c r="D15" s="9"/>
      <c r="F15" s="1"/>
      <c r="G15" s="50"/>
    </row>
    <row r="16" spans="1:7" ht="14.25" customHeight="1">
      <c r="A16" s="2" t="s">
        <v>40</v>
      </c>
      <c r="B16" s="3" t="s">
        <v>210</v>
      </c>
      <c r="C16" s="6"/>
      <c r="D16" s="9"/>
      <c r="F16" s="1"/>
      <c r="G16" s="50"/>
    </row>
    <row r="17" spans="1:7" ht="14.25" customHeight="1">
      <c r="A17" s="2" t="s">
        <v>43</v>
      </c>
      <c r="B17" s="3"/>
      <c r="C17" s="2"/>
      <c r="D17" s="9">
        <f>TRUNC(SUM(D11:D16),2)</f>
        <v>1100</v>
      </c>
      <c r="F17" s="1"/>
      <c r="G17" s="50"/>
    </row>
    <row r="18" spans="1:7" ht="14.25" customHeight="1">
      <c r="F18" s="1"/>
      <c r="G18" s="50"/>
    </row>
    <row r="19" spans="1:7" ht="14.25" customHeight="1">
      <c r="A19" s="118" t="s">
        <v>46</v>
      </c>
      <c r="B19" s="119"/>
      <c r="C19" s="119"/>
      <c r="D19" s="120"/>
      <c r="F19" s="1"/>
      <c r="G19" s="50"/>
    </row>
    <row r="20" spans="1:7" ht="14.25" customHeight="1">
      <c r="A20" s="113" t="s">
        <v>48</v>
      </c>
      <c r="B20" s="114"/>
      <c r="C20" s="114"/>
      <c r="D20" s="114"/>
      <c r="F20" s="1"/>
      <c r="G20" s="50"/>
    </row>
    <row r="21" spans="1:7" ht="14.25" customHeight="1">
      <c r="A21" s="2" t="s">
        <v>50</v>
      </c>
      <c r="B21" s="3" t="s">
        <v>51</v>
      </c>
      <c r="C21" s="2" t="s">
        <v>4</v>
      </c>
      <c r="D21" s="2" t="s">
        <v>5</v>
      </c>
      <c r="F21" s="1"/>
      <c r="G21" s="50"/>
    </row>
    <row r="22" spans="1:7" ht="14.25" customHeight="1">
      <c r="A22" s="2" t="s">
        <v>27</v>
      </c>
      <c r="B22" s="3" t="s">
        <v>52</v>
      </c>
      <c r="C22" s="51">
        <f>(1/12)</f>
        <v>8.3333333333333329E-2</v>
      </c>
      <c r="D22" s="9">
        <f t="shared" ref="D22:D23" si="0">TRUNC($D$17*C22,2)</f>
        <v>91.66</v>
      </c>
      <c r="F22" s="1"/>
      <c r="G22" s="50"/>
    </row>
    <row r="23" spans="1:7" ht="14.25" customHeight="1">
      <c r="A23" s="2" t="s">
        <v>30</v>
      </c>
      <c r="B23" s="3" t="s">
        <v>54</v>
      </c>
      <c r="C23" s="51">
        <f>(((1+1/3)/12))</f>
        <v>0.1111111111111111</v>
      </c>
      <c r="D23" s="9">
        <f t="shared" si="0"/>
        <v>122.22</v>
      </c>
      <c r="E23" s="139"/>
      <c r="F23" s="1"/>
      <c r="G23" s="50"/>
    </row>
    <row r="24" spans="1:7" ht="14.25" customHeight="1">
      <c r="A24" s="2" t="s">
        <v>43</v>
      </c>
      <c r="B24" s="3"/>
      <c r="C24" s="3"/>
      <c r="D24" s="9">
        <f>TRUNC(SUM(D22:D23),2)</f>
        <v>213.88</v>
      </c>
      <c r="F24" s="1"/>
      <c r="G24" s="50"/>
    </row>
    <row r="25" spans="1:7" ht="14.25" customHeight="1">
      <c r="A25" s="14"/>
      <c r="D25" s="15"/>
      <c r="F25" s="1"/>
      <c r="G25" s="50"/>
    </row>
    <row r="26" spans="1:7" ht="14.25" customHeight="1">
      <c r="A26" s="129" t="s">
        <v>211</v>
      </c>
      <c r="B26" s="130"/>
      <c r="C26" s="52" t="s">
        <v>212</v>
      </c>
      <c r="D26" s="53">
        <f>D17</f>
        <v>1100</v>
      </c>
      <c r="F26" s="1"/>
      <c r="G26" s="1"/>
    </row>
    <row r="27" spans="1:7" ht="14.25" customHeight="1">
      <c r="A27" s="131"/>
      <c r="B27" s="132"/>
      <c r="C27" s="54" t="s">
        <v>213</v>
      </c>
      <c r="D27" s="53">
        <f>D24</f>
        <v>213.88</v>
      </c>
      <c r="F27" s="1"/>
      <c r="G27" s="1"/>
    </row>
    <row r="28" spans="1:7" ht="14.25" customHeight="1">
      <c r="A28" s="133"/>
      <c r="B28" s="134"/>
      <c r="C28" s="52" t="s">
        <v>199</v>
      </c>
      <c r="D28" s="55">
        <f>TRUNC(SUM(D26:D27),2)</f>
        <v>1313.88</v>
      </c>
      <c r="F28" s="1"/>
      <c r="G28" s="1"/>
    </row>
    <row r="29" spans="1:7" ht="14.25" customHeight="1">
      <c r="A29" s="14"/>
      <c r="B29" s="14"/>
      <c r="C29" s="22"/>
      <c r="F29" s="1"/>
      <c r="G29" s="1"/>
    </row>
    <row r="30" spans="1:7" ht="14.25" customHeight="1">
      <c r="A30" s="113" t="s">
        <v>65</v>
      </c>
      <c r="B30" s="114"/>
      <c r="C30" s="114"/>
      <c r="D30" s="114"/>
    </row>
    <row r="31" spans="1:7" ht="14.25" customHeight="1">
      <c r="A31" s="2" t="s">
        <v>66</v>
      </c>
      <c r="B31" s="3" t="s">
        <v>67</v>
      </c>
      <c r="C31" s="2" t="s">
        <v>23</v>
      </c>
      <c r="D31" s="2" t="s">
        <v>68</v>
      </c>
    </row>
    <row r="32" spans="1:7" ht="14.25" customHeight="1">
      <c r="A32" s="2" t="s">
        <v>27</v>
      </c>
      <c r="B32" s="3" t="s">
        <v>69</v>
      </c>
      <c r="C32" s="23">
        <v>0.2</v>
      </c>
      <c r="D32" s="9">
        <f t="shared" ref="D32:D39" si="1">TRUNC(($D$28*C32),2)</f>
        <v>262.77</v>
      </c>
    </row>
    <row r="33" spans="1:6" ht="14.25" customHeight="1">
      <c r="A33" s="2" t="s">
        <v>30</v>
      </c>
      <c r="B33" s="3" t="s">
        <v>70</v>
      </c>
      <c r="C33" s="23">
        <v>2.5000000000000001E-2</v>
      </c>
      <c r="D33" s="9">
        <f t="shared" si="1"/>
        <v>32.840000000000003</v>
      </c>
    </row>
    <row r="34" spans="1:6" ht="14.25" customHeight="1">
      <c r="A34" s="2" t="s">
        <v>33</v>
      </c>
      <c r="B34" s="3" t="s">
        <v>71</v>
      </c>
      <c r="C34" s="56">
        <v>0.06</v>
      </c>
      <c r="D34" s="57">
        <f t="shared" si="1"/>
        <v>78.83</v>
      </c>
      <c r="E34" s="140"/>
    </row>
    <row r="35" spans="1:6" ht="14.25" customHeight="1">
      <c r="A35" s="2" t="s">
        <v>35</v>
      </c>
      <c r="B35" s="3" t="s">
        <v>72</v>
      </c>
      <c r="C35" s="23">
        <v>1.4999999999999999E-2</v>
      </c>
      <c r="D35" s="9">
        <f t="shared" si="1"/>
        <v>19.7</v>
      </c>
    </row>
    <row r="36" spans="1:6" ht="14.25" customHeight="1">
      <c r="A36" s="2" t="s">
        <v>38</v>
      </c>
      <c r="B36" s="3" t="s">
        <v>73</v>
      </c>
      <c r="C36" s="23">
        <v>0.01</v>
      </c>
      <c r="D36" s="9">
        <f t="shared" si="1"/>
        <v>13.13</v>
      </c>
    </row>
    <row r="37" spans="1:6" ht="14.25" customHeight="1">
      <c r="A37" s="2" t="s">
        <v>40</v>
      </c>
      <c r="B37" s="3" t="s">
        <v>74</v>
      </c>
      <c r="C37" s="23">
        <v>6.0000000000000001E-3</v>
      </c>
      <c r="D37" s="9">
        <f t="shared" si="1"/>
        <v>7.88</v>
      </c>
    </row>
    <row r="38" spans="1:6" ht="14.25" customHeight="1">
      <c r="A38" s="2" t="s">
        <v>75</v>
      </c>
      <c r="B38" s="3" t="s">
        <v>76</v>
      </c>
      <c r="C38" s="23">
        <v>2E-3</v>
      </c>
      <c r="D38" s="9">
        <f t="shared" si="1"/>
        <v>2.62</v>
      </c>
    </row>
    <row r="39" spans="1:6" ht="14.25" customHeight="1">
      <c r="A39" s="2" t="s">
        <v>77</v>
      </c>
      <c r="B39" s="3" t="s">
        <v>78</v>
      </c>
      <c r="C39" s="23">
        <v>0.08</v>
      </c>
      <c r="D39" s="9">
        <f t="shared" si="1"/>
        <v>105.11</v>
      </c>
    </row>
    <row r="40" spans="1:6" ht="14.25" customHeight="1">
      <c r="A40" s="2" t="s">
        <v>43</v>
      </c>
      <c r="B40" s="3"/>
      <c r="C40" s="23">
        <f>SUBTOTAL(109,'Operador de Fotocopiadora'!$C$32:$C$39)</f>
        <v>0.39800000000000008</v>
      </c>
      <c r="D40" s="9">
        <f>TRUNC(SUM(D32:D39),2)</f>
        <v>522.88</v>
      </c>
    </row>
    <row r="41" spans="1:6" ht="14.25" customHeight="1">
      <c r="A41" s="14"/>
      <c r="C41" s="24"/>
      <c r="D41" s="15"/>
    </row>
    <row r="42" spans="1:6" ht="14.25" customHeight="1">
      <c r="A42" s="113" t="s">
        <v>83</v>
      </c>
      <c r="B42" s="114"/>
      <c r="C42" s="114"/>
      <c r="D42" s="114"/>
    </row>
    <row r="43" spans="1:6" ht="14.25" customHeight="1">
      <c r="A43" s="2" t="s">
        <v>84</v>
      </c>
      <c r="B43" s="3" t="s">
        <v>85</v>
      </c>
      <c r="C43" s="2" t="s">
        <v>4</v>
      </c>
      <c r="D43" s="2" t="s">
        <v>5</v>
      </c>
    </row>
    <row r="44" spans="1:6" ht="14.25" customHeight="1">
      <c r="A44" s="2" t="s">
        <v>27</v>
      </c>
      <c r="B44" s="3" t="s">
        <v>86</v>
      </c>
      <c r="C44" s="3"/>
      <c r="D44" s="57">
        <f>TRUNC(((G5*G3)*2)-((D5/100)*6),2)</f>
        <v>116.6</v>
      </c>
    </row>
    <row r="45" spans="1:6" ht="14.25" customHeight="1">
      <c r="A45" s="2" t="s">
        <v>30</v>
      </c>
      <c r="B45" s="3" t="s">
        <v>87</v>
      </c>
      <c r="C45" s="3"/>
      <c r="D45" s="57">
        <f>TRUNC((((G5*G4))-(((G5*G4))*0.2)),2)</f>
        <v>281.60000000000002</v>
      </c>
    </row>
    <row r="46" spans="1:6" ht="14.25" customHeight="1">
      <c r="A46" s="2" t="s">
        <v>33</v>
      </c>
      <c r="B46" s="3" t="s">
        <v>88</v>
      </c>
      <c r="C46" s="6" t="s">
        <v>208</v>
      </c>
      <c r="D46" s="57">
        <v>5</v>
      </c>
      <c r="E46" s="140"/>
      <c r="F46" s="36"/>
    </row>
    <row r="47" spans="1:6" ht="14.25" customHeight="1">
      <c r="A47" s="2" t="s">
        <v>35</v>
      </c>
      <c r="B47" s="3" t="s">
        <v>89</v>
      </c>
      <c r="C47" s="6" t="s">
        <v>208</v>
      </c>
      <c r="D47" s="57">
        <v>4</v>
      </c>
    </row>
    <row r="48" spans="1:6" ht="14.25" customHeight="1">
      <c r="A48" s="2" t="s">
        <v>38</v>
      </c>
      <c r="B48" s="3" t="s">
        <v>91</v>
      </c>
      <c r="C48" s="6" t="s">
        <v>208</v>
      </c>
      <c r="D48" s="57">
        <v>15</v>
      </c>
    </row>
    <row r="49" spans="1:5" ht="14.25" customHeight="1">
      <c r="A49" s="2" t="s">
        <v>43</v>
      </c>
      <c r="B49" s="3"/>
      <c r="C49" s="3"/>
      <c r="D49" s="9">
        <f>TRUNC(SUM(D44:D48),2)</f>
        <v>422.2</v>
      </c>
    </row>
    <row r="50" spans="1:5" ht="14.25" customHeight="1">
      <c r="A50" s="14"/>
      <c r="D50" s="15"/>
    </row>
    <row r="51" spans="1:5" ht="14.25" customHeight="1">
      <c r="A51" s="113" t="s">
        <v>97</v>
      </c>
      <c r="B51" s="114"/>
      <c r="C51" s="114"/>
      <c r="D51" s="114"/>
    </row>
    <row r="52" spans="1:5" ht="14.25" customHeight="1">
      <c r="A52" s="2" t="s">
        <v>98</v>
      </c>
      <c r="B52" s="3" t="s">
        <v>99</v>
      </c>
      <c r="C52" s="2" t="s">
        <v>4</v>
      </c>
      <c r="D52" s="2" t="s">
        <v>5</v>
      </c>
    </row>
    <row r="53" spans="1:5" ht="14.25" customHeight="1">
      <c r="A53" s="2" t="s">
        <v>50</v>
      </c>
      <c r="B53" s="3" t="s">
        <v>51</v>
      </c>
      <c r="C53" s="2"/>
      <c r="D53" s="9">
        <f>D24</f>
        <v>213.88</v>
      </c>
    </row>
    <row r="54" spans="1:5" ht="14.25" customHeight="1">
      <c r="A54" s="2" t="s">
        <v>66</v>
      </c>
      <c r="B54" s="3" t="s">
        <v>67</v>
      </c>
      <c r="C54" s="2"/>
      <c r="D54" s="9">
        <f>D40</f>
        <v>522.88</v>
      </c>
    </row>
    <row r="55" spans="1:5" ht="14.25" customHeight="1">
      <c r="A55" s="2" t="s">
        <v>84</v>
      </c>
      <c r="B55" s="3" t="s">
        <v>85</v>
      </c>
      <c r="C55" s="2"/>
      <c r="D55" s="9">
        <f>D49</f>
        <v>422.2</v>
      </c>
    </row>
    <row r="56" spans="1:5" ht="14.25" customHeight="1">
      <c r="A56" s="2" t="s">
        <v>43</v>
      </c>
      <c r="B56" s="3"/>
      <c r="C56" s="2"/>
      <c r="D56" s="9">
        <f>TRUNC(SUM(D53:D55),2)</f>
        <v>1158.96</v>
      </c>
    </row>
    <row r="57" spans="1:5" ht="14.25" customHeight="1"/>
    <row r="58" spans="1:5" ht="14.25" customHeight="1">
      <c r="A58" s="115" t="s">
        <v>100</v>
      </c>
      <c r="B58" s="116"/>
      <c r="C58" s="116"/>
      <c r="D58" s="117"/>
    </row>
    <row r="59" spans="1:5" ht="14.25" customHeight="1">
      <c r="A59" s="2" t="s">
        <v>101</v>
      </c>
      <c r="B59" s="3" t="s">
        <v>102</v>
      </c>
      <c r="C59" s="2" t="s">
        <v>4</v>
      </c>
      <c r="D59" s="2" t="s">
        <v>5</v>
      </c>
    </row>
    <row r="60" spans="1:5" ht="14.25" customHeight="1">
      <c r="A60" s="2" t="s">
        <v>27</v>
      </c>
      <c r="B60" s="59" t="s">
        <v>103</v>
      </c>
      <c r="C60" s="60">
        <f>((1/12)*5%)</f>
        <v>4.1666666666666666E-3</v>
      </c>
      <c r="D60" s="61">
        <f>TRUNC(($D$17*C60),2)</f>
        <v>4.58</v>
      </c>
      <c r="E60" s="140"/>
    </row>
    <row r="61" spans="1:5" ht="14.25" customHeight="1">
      <c r="A61" s="2" t="s">
        <v>30</v>
      </c>
      <c r="B61" s="59" t="s">
        <v>104</v>
      </c>
      <c r="C61" s="51">
        <v>0.08</v>
      </c>
      <c r="D61" s="62">
        <f>TRUNC(D60*C61,2)</f>
        <v>0.36</v>
      </c>
    </row>
    <row r="62" spans="1:5" ht="14.25" customHeight="1">
      <c r="A62" s="2" t="s">
        <v>33</v>
      </c>
      <c r="B62" s="59" t="s">
        <v>105</v>
      </c>
      <c r="C62" s="60">
        <f>(0.08*0.4*0.05)</f>
        <v>1.6000000000000001E-3</v>
      </c>
      <c r="D62" s="61">
        <f t="shared" ref="D62:D63" si="2">TRUNC(($D$17*C62),2)</f>
        <v>1.76</v>
      </c>
      <c r="E62" s="140"/>
    </row>
    <row r="63" spans="1:5" ht="14.25" customHeight="1">
      <c r="A63" s="2" t="s">
        <v>35</v>
      </c>
      <c r="B63" s="59" t="s">
        <v>106</v>
      </c>
      <c r="C63" s="51">
        <f>(((7/30)/12)*0.95)</f>
        <v>1.8472222222222223E-2</v>
      </c>
      <c r="D63" s="62">
        <f t="shared" si="2"/>
        <v>20.309999999999999</v>
      </c>
    </row>
    <row r="64" spans="1:5" ht="14.25" customHeight="1">
      <c r="A64" s="2" t="s">
        <v>38</v>
      </c>
      <c r="B64" s="59" t="s">
        <v>214</v>
      </c>
      <c r="C64" s="51">
        <f>C40</f>
        <v>0.39800000000000008</v>
      </c>
      <c r="D64" s="62">
        <f>TRUNC(D63*C64,2)</f>
        <v>8.08</v>
      </c>
    </row>
    <row r="65" spans="1:5" ht="14.25" customHeight="1">
      <c r="A65" s="2" t="s">
        <v>40</v>
      </c>
      <c r="B65" s="59" t="s">
        <v>107</v>
      </c>
      <c r="C65" s="60">
        <f>(0.08*0.4*0.95)</f>
        <v>3.04E-2</v>
      </c>
      <c r="D65" s="61">
        <f>TRUNC(($D$17*C65),2)</f>
        <v>33.44</v>
      </c>
      <c r="E65" s="140"/>
    </row>
    <row r="66" spans="1:5" ht="14.25" customHeight="1">
      <c r="A66" s="2" t="s">
        <v>43</v>
      </c>
      <c r="B66" s="3"/>
      <c r="C66" s="3"/>
      <c r="D66" s="9">
        <f>TRUNC(SUM(D60:D65),2)</f>
        <v>68.53</v>
      </c>
    </row>
    <row r="67" spans="1:5" ht="14.25" customHeight="1">
      <c r="A67" s="14"/>
      <c r="D67" s="15"/>
    </row>
    <row r="68" spans="1:5" ht="14.25" customHeight="1">
      <c r="A68" s="129" t="s">
        <v>215</v>
      </c>
      <c r="B68" s="130"/>
      <c r="C68" s="52" t="s">
        <v>212</v>
      </c>
      <c r="D68" s="53">
        <f>D17</f>
        <v>1100</v>
      </c>
    </row>
    <row r="69" spans="1:5" ht="14.25" customHeight="1">
      <c r="A69" s="131"/>
      <c r="B69" s="132"/>
      <c r="C69" s="54" t="s">
        <v>216</v>
      </c>
      <c r="D69" s="53">
        <f>D56</f>
        <v>1158.96</v>
      </c>
    </row>
    <row r="70" spans="1:5" ht="14.25" customHeight="1">
      <c r="A70" s="131"/>
      <c r="B70" s="132"/>
      <c r="C70" s="52" t="s">
        <v>217</v>
      </c>
      <c r="D70" s="53">
        <f>D66</f>
        <v>68.53</v>
      </c>
    </row>
    <row r="71" spans="1:5" ht="14.25" customHeight="1">
      <c r="A71" s="133"/>
      <c r="B71" s="134"/>
      <c r="C71" s="54" t="s">
        <v>199</v>
      </c>
      <c r="D71" s="55">
        <f>TRUNC((SUM(D68:D70)),2)</f>
        <v>2327.4899999999998</v>
      </c>
    </row>
    <row r="72" spans="1:5" ht="14.25" customHeight="1">
      <c r="A72" s="14"/>
      <c r="D72" s="15"/>
    </row>
    <row r="73" spans="1:5" ht="14.25" customHeight="1">
      <c r="A73" s="122" t="s">
        <v>119</v>
      </c>
      <c r="B73" s="119"/>
      <c r="C73" s="119"/>
      <c r="D73" s="120"/>
    </row>
    <row r="74" spans="1:5" ht="14.25" customHeight="1">
      <c r="A74" s="113" t="s">
        <v>120</v>
      </c>
      <c r="B74" s="114"/>
      <c r="C74" s="114"/>
      <c r="D74" s="114"/>
    </row>
    <row r="75" spans="1:5" ht="14.25" customHeight="1">
      <c r="A75" s="2" t="s">
        <v>121</v>
      </c>
      <c r="B75" s="3" t="s">
        <v>122</v>
      </c>
      <c r="C75" s="2" t="s">
        <v>123</v>
      </c>
      <c r="D75" s="2" t="s">
        <v>5</v>
      </c>
    </row>
    <row r="76" spans="1:5" ht="14.25" customHeight="1">
      <c r="A76" s="2" t="s">
        <v>27</v>
      </c>
      <c r="B76" s="59" t="s">
        <v>124</v>
      </c>
      <c r="C76" s="60">
        <f>((1+1/3)/12)/12</f>
        <v>9.2592592592592587E-3</v>
      </c>
      <c r="D76" s="64">
        <f t="shared" ref="D76:D81" si="3">TRUNC(($D$71*C76),2)</f>
        <v>21.55</v>
      </c>
      <c r="E76" s="139"/>
    </row>
    <row r="77" spans="1:5" ht="14.25" customHeight="1">
      <c r="A77" s="2" t="s">
        <v>30</v>
      </c>
      <c r="B77" s="59" t="s">
        <v>125</v>
      </c>
      <c r="C77" s="60">
        <f>((2/30)/12)</f>
        <v>5.5555555555555558E-3</v>
      </c>
      <c r="D77" s="64">
        <f t="shared" si="3"/>
        <v>12.93</v>
      </c>
      <c r="E77" s="139"/>
    </row>
    <row r="78" spans="1:5" ht="14.25" customHeight="1">
      <c r="A78" s="2" t="s">
        <v>33</v>
      </c>
      <c r="B78" s="59" t="s">
        <v>126</v>
      </c>
      <c r="C78" s="60">
        <f>(((5/30)/12)*0.02)</f>
        <v>2.7777777777777778E-4</v>
      </c>
      <c r="D78" s="64">
        <f t="shared" si="3"/>
        <v>0.64</v>
      </c>
      <c r="E78" s="139"/>
    </row>
    <row r="79" spans="1:5" ht="14.25" customHeight="1">
      <c r="A79" s="2" t="s">
        <v>35</v>
      </c>
      <c r="B79" s="59" t="s">
        <v>127</v>
      </c>
      <c r="C79" s="60">
        <f>((15/30)/12)*0.08</f>
        <v>3.3333333333333331E-3</v>
      </c>
      <c r="D79" s="64">
        <f t="shared" si="3"/>
        <v>7.75</v>
      </c>
      <c r="E79" s="139"/>
    </row>
    <row r="80" spans="1:5" ht="14.25" customHeight="1">
      <c r="A80" s="2" t="s">
        <v>38</v>
      </c>
      <c r="B80" s="59" t="s">
        <v>128</v>
      </c>
      <c r="C80" s="60">
        <f>((1+1/3)/12)*0.03*((4/12))</f>
        <v>1.1111111111111109E-3</v>
      </c>
      <c r="D80" s="64">
        <f t="shared" si="3"/>
        <v>2.58</v>
      </c>
      <c r="E80" s="139"/>
    </row>
    <row r="81" spans="1:5" ht="14.25" customHeight="1">
      <c r="A81" s="2" t="s">
        <v>40</v>
      </c>
      <c r="B81" s="59" t="s">
        <v>218</v>
      </c>
      <c r="C81" s="60">
        <v>0</v>
      </c>
      <c r="D81" s="64">
        <f t="shared" si="3"/>
        <v>0</v>
      </c>
      <c r="E81" s="139"/>
    </row>
    <row r="82" spans="1:5" ht="14.25" customHeight="1">
      <c r="A82" s="2" t="s">
        <v>43</v>
      </c>
      <c r="B82" s="3"/>
      <c r="C82" s="23">
        <f>SUBTOTAL(109,'Operador de Fotocopiadora'!$C$76:$C$81)</f>
        <v>1.9537037037037037E-2</v>
      </c>
      <c r="D82" s="9">
        <f>TRUNC(SUM(D76:D81),2)</f>
        <v>45.45</v>
      </c>
    </row>
    <row r="83" spans="1:5" ht="14.25" customHeight="1">
      <c r="A83" s="14"/>
      <c r="C83" s="14"/>
      <c r="D83" s="15"/>
    </row>
    <row r="84" spans="1:5" ht="14.25" customHeight="1">
      <c r="A84" s="113" t="s">
        <v>139</v>
      </c>
      <c r="B84" s="114"/>
      <c r="C84" s="114"/>
      <c r="D84" s="114"/>
    </row>
    <row r="85" spans="1:5" ht="14.25" customHeight="1">
      <c r="A85" s="2" t="s">
        <v>140</v>
      </c>
      <c r="B85" s="3" t="s">
        <v>141</v>
      </c>
      <c r="C85" s="2" t="s">
        <v>4</v>
      </c>
      <c r="D85" s="2" t="s">
        <v>5</v>
      </c>
    </row>
    <row r="86" spans="1:5" ht="14.25" customHeight="1">
      <c r="A86" s="2" t="s">
        <v>27</v>
      </c>
      <c r="B86" s="3" t="s">
        <v>142</v>
      </c>
      <c r="C86" s="2"/>
      <c r="D86" s="9"/>
    </row>
    <row r="87" spans="1:5" ht="14.25" customHeight="1">
      <c r="A87" s="2" t="s">
        <v>43</v>
      </c>
      <c r="B87" s="3"/>
      <c r="C87" s="2"/>
      <c r="D87" s="9">
        <f>SUBTOTAL(109,'Operador de Fotocopiadora'!$D$86)</f>
        <v>0</v>
      </c>
    </row>
    <row r="88" spans="1:5" ht="14.25" customHeight="1"/>
    <row r="89" spans="1:5" ht="14.25" customHeight="1">
      <c r="A89" s="113" t="s">
        <v>143</v>
      </c>
      <c r="B89" s="114"/>
      <c r="C89" s="114"/>
      <c r="D89" s="114"/>
    </row>
    <row r="90" spans="1:5" ht="14.25" customHeight="1">
      <c r="A90" s="2" t="s">
        <v>144</v>
      </c>
      <c r="B90" s="3" t="s">
        <v>145</v>
      </c>
      <c r="C90" s="2" t="s">
        <v>4</v>
      </c>
      <c r="D90" s="2" t="s">
        <v>5</v>
      </c>
    </row>
    <row r="91" spans="1:5" ht="14.25" customHeight="1">
      <c r="A91" s="2" t="s">
        <v>121</v>
      </c>
      <c r="B91" s="3" t="s">
        <v>122</v>
      </c>
      <c r="C91" s="3"/>
      <c r="D91" s="9">
        <f>D82</f>
        <v>45.45</v>
      </c>
    </row>
    <row r="92" spans="1:5" ht="14.25" customHeight="1">
      <c r="A92" s="2" t="s">
        <v>140</v>
      </c>
      <c r="B92" s="3" t="s">
        <v>146</v>
      </c>
      <c r="C92" s="3"/>
      <c r="D92" s="9">
        <f>'Operador de Fotocopiadora'!$D$87</f>
        <v>0</v>
      </c>
    </row>
    <row r="93" spans="1:5" ht="14.25" customHeight="1">
      <c r="A93" s="2" t="s">
        <v>43</v>
      </c>
      <c r="B93" s="3"/>
      <c r="C93" s="3"/>
      <c r="D93" s="9">
        <f>TRUNC(SUM(D91:D92),2)</f>
        <v>45.45</v>
      </c>
    </row>
    <row r="94" spans="1:5" ht="14.25" customHeight="1"/>
    <row r="95" spans="1:5" ht="14.25" customHeight="1">
      <c r="A95" s="115" t="s">
        <v>147</v>
      </c>
      <c r="B95" s="116"/>
      <c r="C95" s="116"/>
      <c r="D95" s="117"/>
    </row>
    <row r="96" spans="1:5" ht="14.25" customHeight="1">
      <c r="A96" s="2" t="s">
        <v>148</v>
      </c>
      <c r="B96" s="3" t="s">
        <v>149</v>
      </c>
      <c r="C96" s="2" t="s">
        <v>4</v>
      </c>
      <c r="D96" s="2" t="s">
        <v>5</v>
      </c>
    </row>
    <row r="97" spans="1:7" ht="14.25" customHeight="1">
      <c r="A97" s="2" t="s">
        <v>27</v>
      </c>
      <c r="B97" s="3" t="s">
        <v>219</v>
      </c>
      <c r="C97" s="3"/>
      <c r="D97" s="66">
        <v>10.220000000000001</v>
      </c>
      <c r="E97" s="140"/>
    </row>
    <row r="98" spans="1:7" ht="14.25" customHeight="1">
      <c r="A98" s="2" t="s">
        <v>30</v>
      </c>
      <c r="B98" s="3" t="s">
        <v>151</v>
      </c>
      <c r="C98" s="3"/>
      <c r="D98" s="66">
        <v>0</v>
      </c>
    </row>
    <row r="99" spans="1:7" ht="14.25" customHeight="1">
      <c r="A99" s="2" t="s">
        <v>33</v>
      </c>
      <c r="B99" s="3" t="s">
        <v>152</v>
      </c>
      <c r="C99" s="3"/>
      <c r="D99" s="66">
        <v>0</v>
      </c>
    </row>
    <row r="100" spans="1:7" ht="14.25" customHeight="1">
      <c r="A100" s="2" t="s">
        <v>35</v>
      </c>
      <c r="B100" s="3" t="s">
        <v>220</v>
      </c>
      <c r="C100" s="3"/>
      <c r="D100" s="66">
        <v>0</v>
      </c>
    </row>
    <row r="101" spans="1:7" ht="14.25" customHeight="1">
      <c r="A101" s="2" t="s">
        <v>43</v>
      </c>
      <c r="B101" s="3"/>
      <c r="C101" s="3"/>
      <c r="D101" s="9">
        <f>TRUNC(SUM(D97:D100),2)</f>
        <v>10.220000000000001</v>
      </c>
    </row>
    <row r="102" spans="1:7" ht="14.25" customHeight="1">
      <c r="A102" s="14"/>
      <c r="D102" s="15"/>
    </row>
    <row r="103" spans="1:7" ht="14.25" customHeight="1">
      <c r="A103" s="129" t="s">
        <v>221</v>
      </c>
      <c r="B103" s="130"/>
      <c r="C103" s="52" t="s">
        <v>212</v>
      </c>
      <c r="D103" s="53">
        <f>D17</f>
        <v>1100</v>
      </c>
    </row>
    <row r="104" spans="1:7" ht="14.25" customHeight="1">
      <c r="A104" s="131"/>
      <c r="B104" s="132"/>
      <c r="C104" s="54" t="s">
        <v>216</v>
      </c>
      <c r="D104" s="53">
        <f>D56</f>
        <v>1158.96</v>
      </c>
    </row>
    <row r="105" spans="1:7" ht="14.25" customHeight="1">
      <c r="A105" s="131"/>
      <c r="B105" s="132"/>
      <c r="C105" s="52" t="s">
        <v>217</v>
      </c>
      <c r="D105" s="53">
        <f>D66</f>
        <v>68.53</v>
      </c>
    </row>
    <row r="106" spans="1:7" ht="14.25" customHeight="1">
      <c r="A106" s="131"/>
      <c r="B106" s="132"/>
      <c r="C106" s="54" t="s">
        <v>222</v>
      </c>
      <c r="D106" s="53">
        <f>D93</f>
        <v>45.45</v>
      </c>
    </row>
    <row r="107" spans="1:7" ht="14.25" customHeight="1">
      <c r="A107" s="131"/>
      <c r="B107" s="132"/>
      <c r="C107" s="52" t="s">
        <v>223</v>
      </c>
      <c r="D107" s="53">
        <f>D101</f>
        <v>10.220000000000001</v>
      </c>
    </row>
    <row r="108" spans="1:7" ht="14.25" customHeight="1">
      <c r="A108" s="133"/>
      <c r="B108" s="134"/>
      <c r="C108" s="54" t="s">
        <v>199</v>
      </c>
      <c r="D108" s="55">
        <f>TRUNC((SUM(D103:D107)),2)</f>
        <v>2383.16</v>
      </c>
    </row>
    <row r="109" spans="1:7" ht="14.25" customHeight="1">
      <c r="A109" s="14"/>
      <c r="D109" s="15"/>
    </row>
    <row r="110" spans="1:7" ht="14.25" customHeight="1">
      <c r="A110" s="115" t="s">
        <v>159</v>
      </c>
      <c r="B110" s="116"/>
      <c r="C110" s="116"/>
      <c r="D110" s="117"/>
      <c r="F110" s="135" t="s">
        <v>224</v>
      </c>
      <c r="G110" s="136"/>
    </row>
    <row r="111" spans="1:7" ht="14.25" customHeight="1">
      <c r="A111" s="2" t="s">
        <v>160</v>
      </c>
      <c r="B111" s="3" t="s">
        <v>161</v>
      </c>
      <c r="C111" s="2" t="s">
        <v>23</v>
      </c>
      <c r="D111" s="2" t="s">
        <v>5</v>
      </c>
      <c r="F111" s="67" t="s">
        <v>225</v>
      </c>
      <c r="G111" s="68">
        <f>C114</f>
        <v>8.6499999999999994E-2</v>
      </c>
    </row>
    <row r="112" spans="1:7" ht="14.25" customHeight="1">
      <c r="A112" s="2" t="s">
        <v>27</v>
      </c>
      <c r="B112" s="3" t="s">
        <v>162</v>
      </c>
      <c r="C112" s="56">
        <v>2.2499999999999999E-2</v>
      </c>
      <c r="D112" s="57">
        <f>TRUNC(($D$108*C112),2)</f>
        <v>53.62</v>
      </c>
      <c r="E112" s="140"/>
      <c r="F112" s="69" t="s">
        <v>226</v>
      </c>
      <c r="G112" s="70">
        <f>TRUNC(SUM(D108,D112,D113),2)</f>
        <v>2450.1799999999998</v>
      </c>
    </row>
    <row r="113" spans="1:7" ht="14.25" customHeight="1">
      <c r="A113" s="2" t="s">
        <v>30</v>
      </c>
      <c r="B113" s="3" t="s">
        <v>44</v>
      </c>
      <c r="C113" s="56">
        <v>5.4999999999999997E-3</v>
      </c>
      <c r="D113" s="57">
        <f>TRUNC((D108+D112)*C113,2)</f>
        <v>13.4</v>
      </c>
      <c r="E113" s="140"/>
      <c r="F113" s="67" t="s">
        <v>227</v>
      </c>
      <c r="G113" s="71">
        <f>(100-8.65)/100</f>
        <v>0.91349999999999998</v>
      </c>
    </row>
    <row r="114" spans="1:7" ht="14.25" customHeight="1">
      <c r="A114" s="2" t="s">
        <v>33</v>
      </c>
      <c r="B114" s="3" t="s">
        <v>163</v>
      </c>
      <c r="C114" s="56">
        <f t="shared" ref="C114:D114" si="4">SUM(C115:C117)</f>
        <v>8.6499999999999994E-2</v>
      </c>
      <c r="D114" s="57">
        <f t="shared" si="4"/>
        <v>231.98999999999998</v>
      </c>
      <c r="F114" s="69" t="s">
        <v>224</v>
      </c>
      <c r="G114" s="70">
        <f>TRUNC((G112/G113),2)</f>
        <v>2682.18</v>
      </c>
    </row>
    <row r="115" spans="1:7" ht="14.25" customHeight="1">
      <c r="A115" s="2" t="s">
        <v>164</v>
      </c>
      <c r="B115" s="3" t="s">
        <v>45</v>
      </c>
      <c r="C115" s="56">
        <v>6.4999999999999997E-3</v>
      </c>
      <c r="D115" s="57">
        <f t="shared" ref="D115:D117" si="5">TRUNC(($G$114*C115),2)</f>
        <v>17.43</v>
      </c>
    </row>
    <row r="116" spans="1:7" ht="14.25" customHeight="1">
      <c r="A116" s="2" t="s">
        <v>165</v>
      </c>
      <c r="B116" s="3" t="s">
        <v>47</v>
      </c>
      <c r="C116" s="56">
        <v>0.03</v>
      </c>
      <c r="D116" s="57">
        <f t="shared" si="5"/>
        <v>80.459999999999994</v>
      </c>
    </row>
    <row r="117" spans="1:7" ht="14.25" customHeight="1">
      <c r="A117" s="2" t="s">
        <v>166</v>
      </c>
      <c r="B117" s="3" t="s">
        <v>49</v>
      </c>
      <c r="C117" s="56">
        <v>0.05</v>
      </c>
      <c r="D117" s="57">
        <f t="shared" si="5"/>
        <v>134.1</v>
      </c>
    </row>
    <row r="118" spans="1:7" ht="14.25" customHeight="1">
      <c r="A118" s="2" t="s">
        <v>43</v>
      </c>
      <c r="B118" s="3"/>
      <c r="C118" s="2"/>
      <c r="D118" s="9">
        <f>TRUNC(SUM(D112:D114),2)</f>
        <v>299.01</v>
      </c>
    </row>
    <row r="119" spans="1:7" ht="14.25" customHeight="1">
      <c r="A119" s="14"/>
      <c r="C119" s="14"/>
      <c r="D119" s="15"/>
    </row>
    <row r="120" spans="1:7" ht="14.25" customHeight="1">
      <c r="A120" s="115" t="s">
        <v>167</v>
      </c>
      <c r="B120" s="116"/>
      <c r="C120" s="116"/>
      <c r="D120" s="117"/>
    </row>
    <row r="121" spans="1:7" ht="14.25" customHeight="1">
      <c r="A121" s="2" t="s">
        <v>2</v>
      </c>
      <c r="B121" s="2" t="s">
        <v>168</v>
      </c>
      <c r="C121" s="2" t="s">
        <v>94</v>
      </c>
      <c r="D121" s="2" t="s">
        <v>5</v>
      </c>
    </row>
    <row r="122" spans="1:7" ht="14.25" customHeight="1">
      <c r="A122" s="2" t="s">
        <v>27</v>
      </c>
      <c r="B122" s="3" t="s">
        <v>21</v>
      </c>
      <c r="C122" s="3"/>
      <c r="D122" s="9">
        <f>D17</f>
        <v>1100</v>
      </c>
    </row>
    <row r="123" spans="1:7" ht="14.25" customHeight="1">
      <c r="A123" s="2" t="s">
        <v>30</v>
      </c>
      <c r="B123" s="3" t="s">
        <v>46</v>
      </c>
      <c r="C123" s="3"/>
      <c r="D123" s="9">
        <f>D56</f>
        <v>1158.96</v>
      </c>
    </row>
    <row r="124" spans="1:7" ht="14.25" customHeight="1">
      <c r="A124" s="2" t="s">
        <v>33</v>
      </c>
      <c r="B124" s="3" t="s">
        <v>100</v>
      </c>
      <c r="C124" s="3"/>
      <c r="D124" s="9">
        <f>D66</f>
        <v>68.53</v>
      </c>
    </row>
    <row r="125" spans="1:7" ht="14.25" customHeight="1">
      <c r="A125" s="2" t="s">
        <v>35</v>
      </c>
      <c r="B125" s="3" t="s">
        <v>169</v>
      </c>
      <c r="C125" s="3"/>
      <c r="D125" s="9">
        <f>D93</f>
        <v>45.45</v>
      </c>
    </row>
    <row r="126" spans="1:7" ht="14.25" customHeight="1">
      <c r="A126" s="2" t="s">
        <v>38</v>
      </c>
      <c r="B126" s="3" t="s">
        <v>147</v>
      </c>
      <c r="C126" s="3"/>
      <c r="D126" s="9">
        <f>D101</f>
        <v>10.220000000000001</v>
      </c>
    </row>
    <row r="127" spans="1:7" ht="14.25" customHeight="1">
      <c r="A127" s="3" t="s">
        <v>170</v>
      </c>
      <c r="B127" s="3"/>
      <c r="C127" s="3"/>
      <c r="D127" s="9">
        <f>TRUNC(SUM(D122:D126),2)</f>
        <v>2383.16</v>
      </c>
    </row>
    <row r="128" spans="1:7" ht="14.25" customHeight="1">
      <c r="A128" s="2" t="s">
        <v>40</v>
      </c>
      <c r="B128" s="3" t="s">
        <v>159</v>
      </c>
      <c r="C128" s="3"/>
      <c r="D128" s="9">
        <f>D118</f>
        <v>299.01</v>
      </c>
    </row>
    <row r="129" spans="1:4" ht="14.25" customHeight="1">
      <c r="A129" s="72" t="s">
        <v>171</v>
      </c>
      <c r="B129" s="27"/>
      <c r="C129" s="27"/>
      <c r="D129" s="73">
        <f>TRUNC((SUM(D122:D126)+D128),2)</f>
        <v>2682.17</v>
      </c>
    </row>
    <row r="130" spans="1:4" ht="14.25" customHeight="1"/>
    <row r="131" spans="1:4" ht="14.25" customHeight="1"/>
    <row r="132" spans="1:4" ht="14.25" customHeight="1"/>
    <row r="133" spans="1:4" ht="14.25" customHeight="1"/>
    <row r="134" spans="1:4" ht="14.25" customHeight="1"/>
    <row r="135" spans="1:4" ht="14.25" customHeight="1"/>
    <row r="136" spans="1:4" ht="14.25" customHeight="1"/>
    <row r="137" spans="1:4" ht="14.25" customHeight="1"/>
    <row r="138" spans="1:4" ht="14.25" customHeight="1"/>
    <row r="139" spans="1:4" ht="14.25" customHeight="1"/>
    <row r="140" spans="1:4" ht="14.25" customHeight="1"/>
    <row r="141" spans="1:4" ht="14.25" customHeight="1"/>
    <row r="142" spans="1:4" ht="14.25" customHeight="1"/>
    <row r="143" spans="1:4" ht="14.25" customHeight="1"/>
    <row r="144" spans="1: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">
    <mergeCell ref="A110:D110"/>
    <mergeCell ref="F110:G110"/>
    <mergeCell ref="A120:D120"/>
    <mergeCell ref="A42:D42"/>
    <mergeCell ref="A51:D51"/>
    <mergeCell ref="A58:D58"/>
    <mergeCell ref="A68:B71"/>
    <mergeCell ref="A73:D73"/>
    <mergeCell ref="A74:D74"/>
    <mergeCell ref="A84:D84"/>
    <mergeCell ref="A26:B28"/>
    <mergeCell ref="A30:D30"/>
    <mergeCell ref="A89:D89"/>
    <mergeCell ref="A95:D95"/>
    <mergeCell ref="A103:B108"/>
    <mergeCell ref="A1:D1"/>
    <mergeCell ref="F1:G1"/>
    <mergeCell ref="A9:D9"/>
    <mergeCell ref="A19:D19"/>
    <mergeCell ref="A20:D20"/>
  </mergeCells>
  <pageMargins left="0.511811024" right="0.511811024" top="0.78740157499999996" bottom="0.78740157499999996" header="0" footer="0"/>
  <pageSetup orientation="landscape"/>
  <legacyDrawing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G1000"/>
  <sheetViews>
    <sheetView workbookViewId="0">
      <selection activeCell="F46" sqref="F46"/>
    </sheetView>
  </sheetViews>
  <sheetFormatPr defaultColWidth="12.6640625" defaultRowHeight="15" customHeight="1"/>
  <cols>
    <col min="1" max="1" width="11.5" customWidth="1"/>
    <col min="2" max="2" width="49.1640625" customWidth="1"/>
    <col min="3" max="3" width="24.25" customWidth="1"/>
    <col min="4" max="4" width="18.1640625" customWidth="1"/>
    <col min="5" max="5" width="8" style="138" customWidth="1"/>
    <col min="6" max="6" width="25.6640625" customWidth="1"/>
    <col min="7" max="7" width="10" customWidth="1"/>
    <col min="8" max="26" width="8" customWidth="1"/>
  </cols>
  <sheetData>
    <row r="1" spans="1:7" ht="14.25" customHeight="1">
      <c r="A1" s="110" t="s">
        <v>0</v>
      </c>
      <c r="B1" s="111"/>
      <c r="C1" s="111"/>
      <c r="D1" s="112"/>
      <c r="F1" s="113" t="s">
        <v>1</v>
      </c>
      <c r="G1" s="114"/>
    </row>
    <row r="2" spans="1:7" ht="14.25" customHeight="1">
      <c r="A2" s="2" t="s">
        <v>2</v>
      </c>
      <c r="B2" s="3" t="s">
        <v>3</v>
      </c>
      <c r="C2" s="2" t="s">
        <v>4</v>
      </c>
      <c r="D2" s="2" t="s">
        <v>5</v>
      </c>
      <c r="F2" s="18" t="s">
        <v>3</v>
      </c>
      <c r="G2" s="18" t="s">
        <v>5</v>
      </c>
    </row>
    <row r="3" spans="1:7" ht="14.25" customHeight="1">
      <c r="A3" s="2">
        <v>1</v>
      </c>
      <c r="B3" s="3" t="s">
        <v>6</v>
      </c>
      <c r="C3" s="2" t="s">
        <v>188</v>
      </c>
      <c r="D3" s="2" t="s">
        <v>206</v>
      </c>
      <c r="F3" s="3" t="s">
        <v>8</v>
      </c>
      <c r="G3" s="45">
        <v>4.1500000000000004</v>
      </c>
    </row>
    <row r="4" spans="1:7" ht="14.25" customHeight="1">
      <c r="A4" s="2">
        <v>2</v>
      </c>
      <c r="B4" s="3" t="s">
        <v>9</v>
      </c>
      <c r="C4" s="2"/>
      <c r="D4" s="2" t="s">
        <v>189</v>
      </c>
      <c r="F4" s="3" t="s">
        <v>11</v>
      </c>
      <c r="G4" s="45">
        <v>16</v>
      </c>
    </row>
    <row r="5" spans="1:7" ht="14.25" customHeight="1">
      <c r="A5" s="2">
        <v>3</v>
      </c>
      <c r="B5" s="3" t="s">
        <v>12</v>
      </c>
      <c r="C5" s="2" t="s">
        <v>229</v>
      </c>
      <c r="D5" s="46">
        <v>1100</v>
      </c>
      <c r="F5" s="3" t="s">
        <v>14</v>
      </c>
      <c r="G5" s="47">
        <v>22</v>
      </c>
    </row>
    <row r="6" spans="1:7" ht="14.25" customHeight="1">
      <c r="A6" s="2">
        <v>4</v>
      </c>
      <c r="B6" s="3" t="s">
        <v>15</v>
      </c>
      <c r="C6" s="2" t="s">
        <v>208</v>
      </c>
      <c r="D6" s="2"/>
      <c r="F6" s="3" t="s">
        <v>17</v>
      </c>
      <c r="G6" s="48">
        <v>0.06</v>
      </c>
    </row>
    <row r="7" spans="1:7" ht="14.25" customHeight="1">
      <c r="A7" s="2">
        <v>5</v>
      </c>
      <c r="B7" s="3" t="s">
        <v>18</v>
      </c>
      <c r="C7" s="2"/>
      <c r="D7" s="2" t="s">
        <v>19</v>
      </c>
      <c r="F7" s="3" t="s">
        <v>209</v>
      </c>
      <c r="G7" s="49">
        <v>3</v>
      </c>
    </row>
    <row r="8" spans="1:7" ht="14.25" customHeight="1">
      <c r="F8" s="1"/>
      <c r="G8" s="50"/>
    </row>
    <row r="9" spans="1:7" ht="14.25" customHeight="1">
      <c r="A9" s="115" t="s">
        <v>21</v>
      </c>
      <c r="B9" s="116"/>
      <c r="C9" s="116"/>
      <c r="D9" s="117"/>
      <c r="F9" s="1"/>
      <c r="G9" s="50"/>
    </row>
    <row r="10" spans="1:7" ht="14.25" customHeight="1">
      <c r="A10" s="2" t="s">
        <v>24</v>
      </c>
      <c r="B10" s="3" t="s">
        <v>25</v>
      </c>
      <c r="C10" s="2" t="s">
        <v>4</v>
      </c>
      <c r="D10" s="2" t="s">
        <v>5</v>
      </c>
      <c r="F10" s="1"/>
      <c r="G10" s="50"/>
    </row>
    <row r="11" spans="1:7" ht="14.25" customHeight="1">
      <c r="A11" s="2" t="s">
        <v>27</v>
      </c>
      <c r="B11" s="3" t="s">
        <v>28</v>
      </c>
      <c r="C11" s="2"/>
      <c r="D11" s="9">
        <f>D5</f>
        <v>1100</v>
      </c>
      <c r="F11" s="1"/>
      <c r="G11" s="50"/>
    </row>
    <row r="12" spans="1:7" ht="14.25" customHeight="1">
      <c r="A12" s="2" t="s">
        <v>30</v>
      </c>
      <c r="B12" s="3" t="s">
        <v>31</v>
      </c>
      <c r="C12" s="2"/>
      <c r="D12" s="9"/>
      <c r="F12" s="1"/>
      <c r="G12" s="50"/>
    </row>
    <row r="13" spans="1:7" ht="14.25" customHeight="1">
      <c r="A13" s="2" t="s">
        <v>33</v>
      </c>
      <c r="B13" s="3" t="s">
        <v>34</v>
      </c>
      <c r="C13" s="2"/>
      <c r="D13" s="9"/>
      <c r="F13" s="1"/>
      <c r="G13" s="50"/>
    </row>
    <row r="14" spans="1:7" ht="14.25" customHeight="1">
      <c r="A14" s="2" t="s">
        <v>35</v>
      </c>
      <c r="B14" s="3" t="s">
        <v>36</v>
      </c>
      <c r="C14" s="2"/>
      <c r="D14" s="9"/>
      <c r="F14" s="1"/>
      <c r="G14" s="50"/>
    </row>
    <row r="15" spans="1:7" ht="14.25" customHeight="1">
      <c r="A15" s="2" t="s">
        <v>38</v>
      </c>
      <c r="B15" s="3" t="s">
        <v>39</v>
      </c>
      <c r="C15" s="2"/>
      <c r="D15" s="9"/>
      <c r="F15" s="1"/>
      <c r="G15" s="50"/>
    </row>
    <row r="16" spans="1:7" ht="14.25" customHeight="1">
      <c r="A16" s="2" t="s">
        <v>40</v>
      </c>
      <c r="B16" s="3" t="s">
        <v>210</v>
      </c>
      <c r="C16" s="6"/>
      <c r="D16" s="9"/>
      <c r="F16" s="1"/>
      <c r="G16" s="50"/>
    </row>
    <row r="17" spans="1:7" ht="14.25" customHeight="1">
      <c r="A17" s="2" t="s">
        <v>43</v>
      </c>
      <c r="B17" s="3"/>
      <c r="C17" s="2"/>
      <c r="D17" s="9">
        <f>TRUNC(SUM(D11:D16),2)</f>
        <v>1100</v>
      </c>
      <c r="F17" s="1"/>
      <c r="G17" s="50"/>
    </row>
    <row r="18" spans="1:7" ht="14.25" customHeight="1">
      <c r="F18" s="1"/>
      <c r="G18" s="50"/>
    </row>
    <row r="19" spans="1:7" ht="14.25" customHeight="1">
      <c r="A19" s="118" t="s">
        <v>46</v>
      </c>
      <c r="B19" s="119"/>
      <c r="C19" s="119"/>
      <c r="D19" s="120"/>
      <c r="F19" s="1"/>
      <c r="G19" s="50"/>
    </row>
    <row r="20" spans="1:7" ht="14.25" customHeight="1">
      <c r="A20" s="113" t="s">
        <v>48</v>
      </c>
      <c r="B20" s="114"/>
      <c r="C20" s="114"/>
      <c r="D20" s="114"/>
      <c r="F20" s="1"/>
      <c r="G20" s="50"/>
    </row>
    <row r="21" spans="1:7" ht="14.25" customHeight="1">
      <c r="A21" s="2" t="s">
        <v>50</v>
      </c>
      <c r="B21" s="3" t="s">
        <v>51</v>
      </c>
      <c r="C21" s="2" t="s">
        <v>4</v>
      </c>
      <c r="D21" s="2" t="s">
        <v>5</v>
      </c>
      <c r="F21" s="1"/>
      <c r="G21" s="50"/>
    </row>
    <row r="22" spans="1:7" ht="14.25" customHeight="1">
      <c r="A22" s="2" t="s">
        <v>27</v>
      </c>
      <c r="B22" s="3" t="s">
        <v>52</v>
      </c>
      <c r="C22" s="51">
        <f>(1/12)</f>
        <v>8.3333333333333329E-2</v>
      </c>
      <c r="D22" s="9">
        <f t="shared" ref="D22:D23" si="0">TRUNC($D$17*C22,2)</f>
        <v>91.66</v>
      </c>
      <c r="F22" s="1"/>
      <c r="G22" s="50"/>
    </row>
    <row r="23" spans="1:7" ht="14.25" customHeight="1">
      <c r="A23" s="2" t="s">
        <v>30</v>
      </c>
      <c r="B23" s="3" t="s">
        <v>54</v>
      </c>
      <c r="C23" s="51">
        <f>(((1+1/3)/12))</f>
        <v>0.1111111111111111</v>
      </c>
      <c r="D23" s="9">
        <f t="shared" si="0"/>
        <v>122.22</v>
      </c>
      <c r="E23" s="139"/>
      <c r="F23" s="1"/>
      <c r="G23" s="50"/>
    </row>
    <row r="24" spans="1:7" ht="14.25" customHeight="1">
      <c r="A24" s="2" t="s">
        <v>43</v>
      </c>
      <c r="B24" s="3"/>
      <c r="C24" s="3"/>
      <c r="D24" s="9">
        <f>TRUNC(SUM(D22:D23),2)</f>
        <v>213.88</v>
      </c>
      <c r="F24" s="1"/>
      <c r="G24" s="50"/>
    </row>
    <row r="25" spans="1:7" ht="14.25" customHeight="1">
      <c r="A25" s="14"/>
      <c r="D25" s="15"/>
      <c r="F25" s="1"/>
      <c r="G25" s="50"/>
    </row>
    <row r="26" spans="1:7" ht="14.25" customHeight="1">
      <c r="A26" s="129" t="s">
        <v>211</v>
      </c>
      <c r="B26" s="130"/>
      <c r="C26" s="52" t="s">
        <v>212</v>
      </c>
      <c r="D26" s="53">
        <f>D17</f>
        <v>1100</v>
      </c>
      <c r="F26" s="1"/>
      <c r="G26" s="1"/>
    </row>
    <row r="27" spans="1:7" ht="14.25" customHeight="1">
      <c r="A27" s="131"/>
      <c r="B27" s="132"/>
      <c r="C27" s="54" t="s">
        <v>213</v>
      </c>
      <c r="D27" s="53">
        <f>D24</f>
        <v>213.88</v>
      </c>
      <c r="F27" s="1"/>
      <c r="G27" s="1"/>
    </row>
    <row r="28" spans="1:7" ht="14.25" customHeight="1">
      <c r="A28" s="133"/>
      <c r="B28" s="134"/>
      <c r="C28" s="52" t="s">
        <v>199</v>
      </c>
      <c r="D28" s="55">
        <f>TRUNC(SUM(D26:D27),2)</f>
        <v>1313.88</v>
      </c>
      <c r="F28" s="1"/>
      <c r="G28" s="1"/>
    </row>
    <row r="29" spans="1:7" ht="14.25" customHeight="1">
      <c r="A29" s="14"/>
      <c r="B29" s="14"/>
      <c r="C29" s="22"/>
      <c r="F29" s="1"/>
      <c r="G29" s="1"/>
    </row>
    <row r="30" spans="1:7" ht="14.25" customHeight="1">
      <c r="A30" s="113" t="s">
        <v>65</v>
      </c>
      <c r="B30" s="114"/>
      <c r="C30" s="114"/>
      <c r="D30" s="114"/>
    </row>
    <row r="31" spans="1:7" ht="14.25" customHeight="1">
      <c r="A31" s="2" t="s">
        <v>66</v>
      </c>
      <c r="B31" s="3" t="s">
        <v>67</v>
      </c>
      <c r="C31" s="2" t="s">
        <v>23</v>
      </c>
      <c r="D31" s="2" t="s">
        <v>68</v>
      </c>
    </row>
    <row r="32" spans="1:7" ht="14.25" customHeight="1">
      <c r="A32" s="2" t="s">
        <v>27</v>
      </c>
      <c r="B32" s="3" t="s">
        <v>69</v>
      </c>
      <c r="C32" s="23">
        <v>0.2</v>
      </c>
      <c r="D32" s="9">
        <f t="shared" ref="D32:D39" si="1">TRUNC(($D$28*C32),2)</f>
        <v>262.77</v>
      </c>
    </row>
    <row r="33" spans="1:6" ht="14.25" customHeight="1">
      <c r="A33" s="2" t="s">
        <v>30</v>
      </c>
      <c r="B33" s="3" t="s">
        <v>70</v>
      </c>
      <c r="C33" s="23">
        <v>2.5000000000000001E-2</v>
      </c>
      <c r="D33" s="9">
        <f t="shared" si="1"/>
        <v>32.840000000000003</v>
      </c>
    </row>
    <row r="34" spans="1:6" ht="14.25" customHeight="1">
      <c r="A34" s="2" t="s">
        <v>33</v>
      </c>
      <c r="B34" s="3" t="s">
        <v>71</v>
      </c>
      <c r="C34" s="56">
        <v>0.06</v>
      </c>
      <c r="D34" s="57">
        <f t="shared" si="1"/>
        <v>78.83</v>
      </c>
      <c r="E34" s="140"/>
    </row>
    <row r="35" spans="1:6" ht="14.25" customHeight="1">
      <c r="A35" s="2" t="s">
        <v>35</v>
      </c>
      <c r="B35" s="3" t="s">
        <v>72</v>
      </c>
      <c r="C35" s="23">
        <v>1.4999999999999999E-2</v>
      </c>
      <c r="D35" s="9">
        <f t="shared" si="1"/>
        <v>19.7</v>
      </c>
    </row>
    <row r="36" spans="1:6" ht="14.25" customHeight="1">
      <c r="A36" s="2" t="s">
        <v>38</v>
      </c>
      <c r="B36" s="3" t="s">
        <v>73</v>
      </c>
      <c r="C36" s="23">
        <v>0.01</v>
      </c>
      <c r="D36" s="9">
        <f t="shared" si="1"/>
        <v>13.13</v>
      </c>
    </row>
    <row r="37" spans="1:6" ht="14.25" customHeight="1">
      <c r="A37" s="2" t="s">
        <v>40</v>
      </c>
      <c r="B37" s="3" t="s">
        <v>74</v>
      </c>
      <c r="C37" s="23">
        <v>6.0000000000000001E-3</v>
      </c>
      <c r="D37" s="9">
        <f t="shared" si="1"/>
        <v>7.88</v>
      </c>
    </row>
    <row r="38" spans="1:6" ht="14.25" customHeight="1">
      <c r="A38" s="2" t="s">
        <v>75</v>
      </c>
      <c r="B38" s="3" t="s">
        <v>76</v>
      </c>
      <c r="C38" s="23">
        <v>2E-3</v>
      </c>
      <c r="D38" s="9">
        <f t="shared" si="1"/>
        <v>2.62</v>
      </c>
    </row>
    <row r="39" spans="1:6" ht="14.25" customHeight="1">
      <c r="A39" s="2" t="s">
        <v>77</v>
      </c>
      <c r="B39" s="3" t="s">
        <v>78</v>
      </c>
      <c r="C39" s="23">
        <v>0.08</v>
      </c>
      <c r="D39" s="9">
        <f t="shared" si="1"/>
        <v>105.11</v>
      </c>
    </row>
    <row r="40" spans="1:6" ht="14.25" customHeight="1">
      <c r="A40" s="2" t="s">
        <v>43</v>
      </c>
      <c r="B40" s="3"/>
      <c r="C40" s="23">
        <f>SUBTOTAL(109,Copeiro!$C$32:$C$39)</f>
        <v>0.39800000000000008</v>
      </c>
      <c r="D40" s="9">
        <f>TRUNC(SUM(D32:D39),2)</f>
        <v>522.88</v>
      </c>
    </row>
    <row r="41" spans="1:6" ht="14.25" customHeight="1">
      <c r="A41" s="14"/>
      <c r="C41" s="24"/>
      <c r="D41" s="15"/>
    </row>
    <row r="42" spans="1:6" ht="14.25" customHeight="1">
      <c r="A42" s="113" t="s">
        <v>83</v>
      </c>
      <c r="B42" s="114"/>
      <c r="C42" s="114"/>
      <c r="D42" s="114"/>
    </row>
    <row r="43" spans="1:6" ht="14.25" customHeight="1">
      <c r="A43" s="2" t="s">
        <v>84</v>
      </c>
      <c r="B43" s="3" t="s">
        <v>85</v>
      </c>
      <c r="C43" s="2" t="s">
        <v>4</v>
      </c>
      <c r="D43" s="2" t="s">
        <v>5</v>
      </c>
    </row>
    <row r="44" spans="1:6" ht="14.25" customHeight="1">
      <c r="A44" s="2" t="s">
        <v>27</v>
      </c>
      <c r="B44" s="3" t="s">
        <v>86</v>
      </c>
      <c r="C44" s="3"/>
      <c r="D44" s="57">
        <f>TRUNC(((G5*G3)*2)-((D5/100)*6),2)</f>
        <v>116.6</v>
      </c>
    </row>
    <row r="45" spans="1:6" ht="14.25" customHeight="1">
      <c r="A45" s="2" t="s">
        <v>30</v>
      </c>
      <c r="B45" s="3" t="s">
        <v>87</v>
      </c>
      <c r="C45" s="3"/>
      <c r="D45" s="57">
        <f>TRUNC((((G5*G4))-(((G5*G4))*0.2)),2)</f>
        <v>281.60000000000002</v>
      </c>
    </row>
    <row r="46" spans="1:6" ht="14.25" customHeight="1">
      <c r="A46" s="2" t="s">
        <v>33</v>
      </c>
      <c r="B46" s="3" t="s">
        <v>88</v>
      </c>
      <c r="C46" s="6" t="s">
        <v>208</v>
      </c>
      <c r="D46" s="57">
        <v>5</v>
      </c>
      <c r="E46" s="140"/>
      <c r="F46" s="36"/>
    </row>
    <row r="47" spans="1:6" ht="14.25" customHeight="1">
      <c r="A47" s="2" t="s">
        <v>35</v>
      </c>
      <c r="B47" s="3" t="s">
        <v>89</v>
      </c>
      <c r="C47" s="6" t="s">
        <v>208</v>
      </c>
      <c r="D47" s="57">
        <v>4</v>
      </c>
    </row>
    <row r="48" spans="1:6" ht="14.25" customHeight="1">
      <c r="A48" s="2" t="s">
        <v>38</v>
      </c>
      <c r="B48" s="3" t="s">
        <v>91</v>
      </c>
      <c r="C48" s="6" t="s">
        <v>208</v>
      </c>
      <c r="D48" s="57">
        <v>15</v>
      </c>
    </row>
    <row r="49" spans="1:5" ht="14.25" customHeight="1">
      <c r="A49" s="2" t="s">
        <v>43</v>
      </c>
      <c r="B49" s="3"/>
      <c r="C49" s="3"/>
      <c r="D49" s="9">
        <f>TRUNC(SUM(D44:D48),2)</f>
        <v>422.2</v>
      </c>
    </row>
    <row r="50" spans="1:5" ht="14.25" customHeight="1">
      <c r="A50" s="14"/>
      <c r="D50" s="15"/>
    </row>
    <row r="51" spans="1:5" ht="14.25" customHeight="1">
      <c r="A51" s="113" t="s">
        <v>97</v>
      </c>
      <c r="B51" s="114"/>
      <c r="C51" s="114"/>
      <c r="D51" s="114"/>
    </row>
    <row r="52" spans="1:5" ht="14.25" customHeight="1">
      <c r="A52" s="2" t="s">
        <v>98</v>
      </c>
      <c r="B52" s="3" t="s">
        <v>99</v>
      </c>
      <c r="C52" s="2" t="s">
        <v>4</v>
      </c>
      <c r="D52" s="2" t="s">
        <v>5</v>
      </c>
    </row>
    <row r="53" spans="1:5" ht="14.25" customHeight="1">
      <c r="A53" s="2" t="s">
        <v>50</v>
      </c>
      <c r="B53" s="3" t="s">
        <v>51</v>
      </c>
      <c r="C53" s="2"/>
      <c r="D53" s="9">
        <f>D24</f>
        <v>213.88</v>
      </c>
    </row>
    <row r="54" spans="1:5" ht="14.25" customHeight="1">
      <c r="A54" s="2" t="s">
        <v>66</v>
      </c>
      <c r="B54" s="3" t="s">
        <v>67</v>
      </c>
      <c r="C54" s="2"/>
      <c r="D54" s="9">
        <f>D40</f>
        <v>522.88</v>
      </c>
    </row>
    <row r="55" spans="1:5" ht="14.25" customHeight="1">
      <c r="A55" s="2" t="s">
        <v>84</v>
      </c>
      <c r="B55" s="3" t="s">
        <v>85</v>
      </c>
      <c r="C55" s="2"/>
      <c r="D55" s="9">
        <f>D49</f>
        <v>422.2</v>
      </c>
    </row>
    <row r="56" spans="1:5" ht="14.25" customHeight="1">
      <c r="A56" s="2" t="s">
        <v>43</v>
      </c>
      <c r="B56" s="3"/>
      <c r="C56" s="2"/>
      <c r="D56" s="9">
        <f>TRUNC(SUM(D53:D55),2)</f>
        <v>1158.96</v>
      </c>
    </row>
    <row r="57" spans="1:5" ht="14.25" customHeight="1"/>
    <row r="58" spans="1:5" ht="14.25" customHeight="1">
      <c r="A58" s="115" t="s">
        <v>100</v>
      </c>
      <c r="B58" s="116"/>
      <c r="C58" s="116"/>
      <c r="D58" s="117"/>
    </row>
    <row r="59" spans="1:5" ht="14.25" customHeight="1">
      <c r="A59" s="2" t="s">
        <v>101</v>
      </c>
      <c r="B59" s="3" t="s">
        <v>102</v>
      </c>
      <c r="C59" s="2" t="s">
        <v>4</v>
      </c>
      <c r="D59" s="2" t="s">
        <v>5</v>
      </c>
    </row>
    <row r="60" spans="1:5" ht="14.25" customHeight="1">
      <c r="A60" s="2" t="s">
        <v>27</v>
      </c>
      <c r="B60" s="59" t="s">
        <v>103</v>
      </c>
      <c r="C60" s="60">
        <f>((1/12)*5%)</f>
        <v>4.1666666666666666E-3</v>
      </c>
      <c r="D60" s="61">
        <f>TRUNC(($D$17*C60),2)</f>
        <v>4.58</v>
      </c>
      <c r="E60" s="140"/>
    </row>
    <row r="61" spans="1:5" ht="14.25" customHeight="1">
      <c r="A61" s="2" t="s">
        <v>30</v>
      </c>
      <c r="B61" s="59" t="s">
        <v>104</v>
      </c>
      <c r="C61" s="51">
        <v>0.08</v>
      </c>
      <c r="D61" s="62">
        <f>TRUNC(D60*C61,2)</f>
        <v>0.36</v>
      </c>
    </row>
    <row r="62" spans="1:5" ht="14.25" customHeight="1">
      <c r="A62" s="2" t="s">
        <v>33</v>
      </c>
      <c r="B62" s="59" t="s">
        <v>105</v>
      </c>
      <c r="C62" s="60">
        <f>(0.08*0.4*0.05)</f>
        <v>1.6000000000000001E-3</v>
      </c>
      <c r="D62" s="61">
        <f t="shared" ref="D62:D63" si="2">TRUNC(($D$17*C62),2)</f>
        <v>1.76</v>
      </c>
      <c r="E62" s="140"/>
    </row>
    <row r="63" spans="1:5" ht="14.25" customHeight="1">
      <c r="A63" s="2" t="s">
        <v>35</v>
      </c>
      <c r="B63" s="59" t="s">
        <v>106</v>
      </c>
      <c r="C63" s="51">
        <f>(((7/30)/12)*0.95)</f>
        <v>1.8472222222222223E-2</v>
      </c>
      <c r="D63" s="62">
        <f t="shared" si="2"/>
        <v>20.309999999999999</v>
      </c>
    </row>
    <row r="64" spans="1:5" ht="14.25" customHeight="1">
      <c r="A64" s="2" t="s">
        <v>38</v>
      </c>
      <c r="B64" s="59" t="s">
        <v>214</v>
      </c>
      <c r="C64" s="51">
        <f>C40</f>
        <v>0.39800000000000008</v>
      </c>
      <c r="D64" s="62">
        <f>TRUNC(D63*C64,2)</f>
        <v>8.08</v>
      </c>
    </row>
    <row r="65" spans="1:5" ht="14.25" customHeight="1">
      <c r="A65" s="2" t="s">
        <v>40</v>
      </c>
      <c r="B65" s="59" t="s">
        <v>107</v>
      </c>
      <c r="C65" s="60">
        <f>(0.08*0.4*0.95)</f>
        <v>3.04E-2</v>
      </c>
      <c r="D65" s="61">
        <f>TRUNC(($D$17*C65),2)</f>
        <v>33.44</v>
      </c>
      <c r="E65" s="140"/>
    </row>
    <row r="66" spans="1:5" ht="14.25" customHeight="1">
      <c r="A66" s="2" t="s">
        <v>43</v>
      </c>
      <c r="B66" s="3"/>
      <c r="C66" s="3"/>
      <c r="D66" s="9">
        <f>TRUNC(SUM(D60:D65),2)</f>
        <v>68.53</v>
      </c>
    </row>
    <row r="67" spans="1:5" ht="14.25" customHeight="1">
      <c r="A67" s="14"/>
      <c r="D67" s="15"/>
    </row>
    <row r="68" spans="1:5" ht="14.25" customHeight="1">
      <c r="A68" s="129" t="s">
        <v>215</v>
      </c>
      <c r="B68" s="130"/>
      <c r="C68" s="52" t="s">
        <v>212</v>
      </c>
      <c r="D68" s="53">
        <f>D17</f>
        <v>1100</v>
      </c>
    </row>
    <row r="69" spans="1:5" ht="14.25" customHeight="1">
      <c r="A69" s="131"/>
      <c r="B69" s="132"/>
      <c r="C69" s="54" t="s">
        <v>216</v>
      </c>
      <c r="D69" s="53">
        <f>D56</f>
        <v>1158.96</v>
      </c>
    </row>
    <row r="70" spans="1:5" ht="14.25" customHeight="1">
      <c r="A70" s="131"/>
      <c r="B70" s="132"/>
      <c r="C70" s="52" t="s">
        <v>217</v>
      </c>
      <c r="D70" s="53">
        <f>D66</f>
        <v>68.53</v>
      </c>
    </row>
    <row r="71" spans="1:5" ht="14.25" customHeight="1">
      <c r="A71" s="133"/>
      <c r="B71" s="134"/>
      <c r="C71" s="54" t="s">
        <v>199</v>
      </c>
      <c r="D71" s="55">
        <f>TRUNC((SUM(D68:D70)),2)</f>
        <v>2327.4899999999998</v>
      </c>
    </row>
    <row r="72" spans="1:5" ht="14.25" customHeight="1">
      <c r="A72" s="14"/>
      <c r="D72" s="15"/>
    </row>
    <row r="73" spans="1:5" ht="14.25" customHeight="1">
      <c r="A73" s="122" t="s">
        <v>119</v>
      </c>
      <c r="B73" s="119"/>
      <c r="C73" s="119"/>
      <c r="D73" s="120"/>
    </row>
    <row r="74" spans="1:5" ht="14.25" customHeight="1">
      <c r="A74" s="113" t="s">
        <v>120</v>
      </c>
      <c r="B74" s="114"/>
      <c r="C74" s="114"/>
      <c r="D74" s="114"/>
    </row>
    <row r="75" spans="1:5" ht="14.25" customHeight="1">
      <c r="A75" s="2" t="s">
        <v>121</v>
      </c>
      <c r="B75" s="3" t="s">
        <v>122</v>
      </c>
      <c r="C75" s="2" t="s">
        <v>123</v>
      </c>
      <c r="D75" s="2" t="s">
        <v>5</v>
      </c>
    </row>
    <row r="76" spans="1:5" ht="14.25" customHeight="1">
      <c r="A76" s="2" t="s">
        <v>27</v>
      </c>
      <c r="B76" s="59" t="s">
        <v>124</v>
      </c>
      <c r="C76" s="60">
        <f>((1+1/3)/12)/12</f>
        <v>9.2592592592592587E-3</v>
      </c>
      <c r="D76" s="64">
        <f t="shared" ref="D76:D81" si="3">TRUNC(($D$71*C76),2)</f>
        <v>21.55</v>
      </c>
      <c r="E76" s="139"/>
    </row>
    <row r="77" spans="1:5" ht="14.25" customHeight="1">
      <c r="A77" s="2" t="s">
        <v>30</v>
      </c>
      <c r="B77" s="59" t="s">
        <v>125</v>
      </c>
      <c r="C77" s="60">
        <f>((2/30)/12)</f>
        <v>5.5555555555555558E-3</v>
      </c>
      <c r="D77" s="64">
        <f t="shared" si="3"/>
        <v>12.93</v>
      </c>
      <c r="E77" s="139"/>
    </row>
    <row r="78" spans="1:5" ht="14.25" customHeight="1">
      <c r="A78" s="2" t="s">
        <v>33</v>
      </c>
      <c r="B78" s="59" t="s">
        <v>126</v>
      </c>
      <c r="C78" s="60">
        <f>(((5/30)/12)*0.02)</f>
        <v>2.7777777777777778E-4</v>
      </c>
      <c r="D78" s="64">
        <f t="shared" si="3"/>
        <v>0.64</v>
      </c>
      <c r="E78" s="139"/>
    </row>
    <row r="79" spans="1:5" ht="14.25" customHeight="1">
      <c r="A79" s="2" t="s">
        <v>35</v>
      </c>
      <c r="B79" s="59" t="s">
        <v>127</v>
      </c>
      <c r="C79" s="60">
        <f>((15/30)/12)*0.08</f>
        <v>3.3333333333333331E-3</v>
      </c>
      <c r="D79" s="64">
        <f t="shared" si="3"/>
        <v>7.75</v>
      </c>
      <c r="E79" s="139"/>
    </row>
    <row r="80" spans="1:5" ht="14.25" customHeight="1">
      <c r="A80" s="2" t="s">
        <v>38</v>
      </c>
      <c r="B80" s="59" t="s">
        <v>128</v>
      </c>
      <c r="C80" s="60">
        <f>((1+1/3)/12)*0.03*((4/12))</f>
        <v>1.1111111111111109E-3</v>
      </c>
      <c r="D80" s="64">
        <f t="shared" si="3"/>
        <v>2.58</v>
      </c>
      <c r="E80" s="139"/>
    </row>
    <row r="81" spans="1:5" ht="14.25" customHeight="1">
      <c r="A81" s="2" t="s">
        <v>40</v>
      </c>
      <c r="B81" s="59" t="s">
        <v>218</v>
      </c>
      <c r="C81" s="60">
        <v>0</v>
      </c>
      <c r="D81" s="64">
        <f t="shared" si="3"/>
        <v>0</v>
      </c>
      <c r="E81" s="139"/>
    </row>
    <row r="82" spans="1:5" ht="14.25" customHeight="1">
      <c r="A82" s="2" t="s">
        <v>43</v>
      </c>
      <c r="B82" s="3"/>
      <c r="C82" s="23">
        <f>SUBTOTAL(109,Copeiro!$C$76:$C$81)</f>
        <v>1.9537037037037037E-2</v>
      </c>
      <c r="D82" s="9">
        <f>TRUNC(SUM(D76:D81),2)</f>
        <v>45.45</v>
      </c>
    </row>
    <row r="83" spans="1:5" ht="14.25" customHeight="1">
      <c r="A83" s="14"/>
      <c r="C83" s="14"/>
      <c r="D83" s="15"/>
    </row>
    <row r="84" spans="1:5" ht="14.25" customHeight="1">
      <c r="A84" s="113" t="s">
        <v>139</v>
      </c>
      <c r="B84" s="114"/>
      <c r="C84" s="114"/>
      <c r="D84" s="114"/>
    </row>
    <row r="85" spans="1:5" ht="14.25" customHeight="1">
      <c r="A85" s="2" t="s">
        <v>140</v>
      </c>
      <c r="B85" s="3" t="s">
        <v>141</v>
      </c>
      <c r="C85" s="2" t="s">
        <v>4</v>
      </c>
      <c r="D85" s="2" t="s">
        <v>5</v>
      </c>
    </row>
    <row r="86" spans="1:5" ht="14.25" customHeight="1">
      <c r="A86" s="2" t="s">
        <v>27</v>
      </c>
      <c r="B86" s="3" t="s">
        <v>142</v>
      </c>
      <c r="C86" s="2"/>
      <c r="D86" s="9"/>
    </row>
    <row r="87" spans="1:5" ht="14.25" customHeight="1">
      <c r="A87" s="2" t="s">
        <v>43</v>
      </c>
      <c r="B87" s="3"/>
      <c r="C87" s="2"/>
      <c r="D87" s="9">
        <f>SUBTOTAL(109,Copeiro!$D$86)</f>
        <v>0</v>
      </c>
    </row>
    <row r="88" spans="1:5" ht="14.25" customHeight="1"/>
    <row r="89" spans="1:5" ht="14.25" customHeight="1">
      <c r="A89" s="113" t="s">
        <v>143</v>
      </c>
      <c r="B89" s="114"/>
      <c r="C89" s="114"/>
      <c r="D89" s="114"/>
    </row>
    <row r="90" spans="1:5" ht="14.25" customHeight="1">
      <c r="A90" s="2" t="s">
        <v>144</v>
      </c>
      <c r="B90" s="3" t="s">
        <v>145</v>
      </c>
      <c r="C90" s="2" t="s">
        <v>4</v>
      </c>
      <c r="D90" s="2" t="s">
        <v>5</v>
      </c>
    </row>
    <row r="91" spans="1:5" ht="14.25" customHeight="1">
      <c r="A91" s="2" t="s">
        <v>121</v>
      </c>
      <c r="B91" s="3" t="s">
        <v>122</v>
      </c>
      <c r="C91" s="3"/>
      <c r="D91" s="9">
        <f>D82</f>
        <v>45.45</v>
      </c>
    </row>
    <row r="92" spans="1:5" ht="14.25" customHeight="1">
      <c r="A92" s="2" t="s">
        <v>140</v>
      </c>
      <c r="B92" s="3" t="s">
        <v>146</v>
      </c>
      <c r="C92" s="3"/>
      <c r="D92" s="9">
        <f>Copeiro!$D$87</f>
        <v>0</v>
      </c>
    </row>
    <row r="93" spans="1:5" ht="14.25" customHeight="1">
      <c r="A93" s="2" t="s">
        <v>43</v>
      </c>
      <c r="B93" s="3"/>
      <c r="C93" s="3"/>
      <c r="D93" s="9">
        <f>TRUNC(SUM(D91:D92),2)</f>
        <v>45.45</v>
      </c>
    </row>
    <row r="94" spans="1:5" ht="14.25" customHeight="1"/>
    <row r="95" spans="1:5" ht="14.25" customHeight="1">
      <c r="A95" s="115" t="s">
        <v>147</v>
      </c>
      <c r="B95" s="116"/>
      <c r="C95" s="116"/>
      <c r="D95" s="117"/>
    </row>
    <row r="96" spans="1:5" ht="14.25" customHeight="1">
      <c r="A96" s="2" t="s">
        <v>148</v>
      </c>
      <c r="B96" s="3" t="s">
        <v>149</v>
      </c>
      <c r="C96" s="2" t="s">
        <v>4</v>
      </c>
      <c r="D96" s="2" t="s">
        <v>5</v>
      </c>
    </row>
    <row r="97" spans="1:7" ht="14.25" customHeight="1">
      <c r="A97" s="2" t="s">
        <v>27</v>
      </c>
      <c r="B97" s="3" t="s">
        <v>219</v>
      </c>
      <c r="C97" s="3"/>
      <c r="D97" s="66">
        <v>13.44</v>
      </c>
      <c r="E97" s="140"/>
    </row>
    <row r="98" spans="1:7" ht="14.25" customHeight="1">
      <c r="A98" s="2" t="s">
        <v>30</v>
      </c>
      <c r="B98" s="3" t="s">
        <v>151</v>
      </c>
      <c r="C98" s="3"/>
      <c r="D98" s="66">
        <v>0</v>
      </c>
    </row>
    <row r="99" spans="1:7" ht="14.25" customHeight="1">
      <c r="A99" s="2" t="s">
        <v>33</v>
      </c>
      <c r="B99" s="3" t="s">
        <v>152</v>
      </c>
      <c r="C99" s="3"/>
      <c r="D99" s="66">
        <v>0</v>
      </c>
    </row>
    <row r="100" spans="1:7" ht="14.25" customHeight="1">
      <c r="A100" s="2" t="s">
        <v>35</v>
      </c>
      <c r="B100" s="3" t="s">
        <v>220</v>
      </c>
      <c r="C100" s="3"/>
      <c r="D100" s="66">
        <v>0</v>
      </c>
    </row>
    <row r="101" spans="1:7" ht="14.25" customHeight="1">
      <c r="A101" s="2" t="s">
        <v>43</v>
      </c>
      <c r="B101" s="3"/>
      <c r="C101" s="3"/>
      <c r="D101" s="9">
        <f>TRUNC(SUM(D97:D100),2)</f>
        <v>13.44</v>
      </c>
    </row>
    <row r="102" spans="1:7" ht="14.25" customHeight="1">
      <c r="A102" s="14"/>
      <c r="D102" s="15"/>
    </row>
    <row r="103" spans="1:7" ht="14.25" customHeight="1">
      <c r="A103" s="129" t="s">
        <v>221</v>
      </c>
      <c r="B103" s="130"/>
      <c r="C103" s="52" t="s">
        <v>212</v>
      </c>
      <c r="D103" s="53">
        <f>D17</f>
        <v>1100</v>
      </c>
    </row>
    <row r="104" spans="1:7" ht="14.25" customHeight="1">
      <c r="A104" s="131"/>
      <c r="B104" s="132"/>
      <c r="C104" s="54" t="s">
        <v>216</v>
      </c>
      <c r="D104" s="53">
        <f>D56</f>
        <v>1158.96</v>
      </c>
    </row>
    <row r="105" spans="1:7" ht="14.25" customHeight="1">
      <c r="A105" s="131"/>
      <c r="B105" s="132"/>
      <c r="C105" s="52" t="s">
        <v>217</v>
      </c>
      <c r="D105" s="53">
        <f>D66</f>
        <v>68.53</v>
      </c>
    </row>
    <row r="106" spans="1:7" ht="14.25" customHeight="1">
      <c r="A106" s="131"/>
      <c r="B106" s="132"/>
      <c r="C106" s="54" t="s">
        <v>222</v>
      </c>
      <c r="D106" s="53">
        <f>D93</f>
        <v>45.45</v>
      </c>
    </row>
    <row r="107" spans="1:7" ht="14.25" customHeight="1">
      <c r="A107" s="131"/>
      <c r="B107" s="132"/>
      <c r="C107" s="52" t="s">
        <v>223</v>
      </c>
      <c r="D107" s="53">
        <f>D101</f>
        <v>13.44</v>
      </c>
    </row>
    <row r="108" spans="1:7" ht="14.25" customHeight="1">
      <c r="A108" s="133"/>
      <c r="B108" s="134"/>
      <c r="C108" s="54" t="s">
        <v>199</v>
      </c>
      <c r="D108" s="55">
        <f>TRUNC((SUM(D103:D107)),2)</f>
        <v>2386.38</v>
      </c>
    </row>
    <row r="109" spans="1:7" ht="14.25" customHeight="1">
      <c r="A109" s="14"/>
      <c r="D109" s="15"/>
    </row>
    <row r="110" spans="1:7" ht="14.25" customHeight="1">
      <c r="A110" s="115" t="s">
        <v>159</v>
      </c>
      <c r="B110" s="116"/>
      <c r="C110" s="116"/>
      <c r="D110" s="117"/>
      <c r="F110" s="135" t="s">
        <v>224</v>
      </c>
      <c r="G110" s="136"/>
    </row>
    <row r="111" spans="1:7" ht="14.25" customHeight="1">
      <c r="A111" s="2" t="s">
        <v>160</v>
      </c>
      <c r="B111" s="3" t="s">
        <v>161</v>
      </c>
      <c r="C111" s="2" t="s">
        <v>23</v>
      </c>
      <c r="D111" s="2" t="s">
        <v>5</v>
      </c>
      <c r="F111" s="67" t="s">
        <v>225</v>
      </c>
      <c r="G111" s="68">
        <f>C114</f>
        <v>8.6499999999999994E-2</v>
      </c>
    </row>
    <row r="112" spans="1:7" ht="14.25" customHeight="1">
      <c r="A112" s="2" t="s">
        <v>27</v>
      </c>
      <c r="B112" s="3" t="s">
        <v>162</v>
      </c>
      <c r="C112" s="56">
        <v>2.2499999999999999E-2</v>
      </c>
      <c r="D112" s="57">
        <f>TRUNC(($D$108*C112),2)</f>
        <v>53.69</v>
      </c>
      <c r="E112" s="140"/>
      <c r="F112" s="69" t="s">
        <v>226</v>
      </c>
      <c r="G112" s="70">
        <f>TRUNC(SUM(D108,D112,D113),2)</f>
        <v>2453.4899999999998</v>
      </c>
    </row>
    <row r="113" spans="1:7" ht="14.25" customHeight="1">
      <c r="A113" s="2" t="s">
        <v>30</v>
      </c>
      <c r="B113" s="3" t="s">
        <v>44</v>
      </c>
      <c r="C113" s="56">
        <v>5.4999999999999997E-3</v>
      </c>
      <c r="D113" s="57">
        <f>TRUNC((D108+D112)*C113,2)</f>
        <v>13.42</v>
      </c>
      <c r="E113" s="140"/>
      <c r="F113" s="67" t="s">
        <v>227</v>
      </c>
      <c r="G113" s="71">
        <f>(100-8.65)/100</f>
        <v>0.91349999999999998</v>
      </c>
    </row>
    <row r="114" spans="1:7" ht="14.25" customHeight="1">
      <c r="A114" s="2" t="s">
        <v>33</v>
      </c>
      <c r="B114" s="3" t="s">
        <v>163</v>
      </c>
      <c r="C114" s="56">
        <f t="shared" ref="C114:D114" si="4">SUM(C115:C117)</f>
        <v>8.6499999999999994E-2</v>
      </c>
      <c r="D114" s="57">
        <f t="shared" si="4"/>
        <v>232.31</v>
      </c>
      <c r="F114" s="69" t="s">
        <v>224</v>
      </c>
      <c r="G114" s="70">
        <f>TRUNC((G112/G113),2)</f>
        <v>2685.81</v>
      </c>
    </row>
    <row r="115" spans="1:7" ht="14.25" customHeight="1">
      <c r="A115" s="2" t="s">
        <v>164</v>
      </c>
      <c r="B115" s="3" t="s">
        <v>45</v>
      </c>
      <c r="C115" s="56">
        <v>6.4999999999999997E-3</v>
      </c>
      <c r="D115" s="57">
        <f t="shared" ref="D115:D117" si="5">TRUNC(($G$114*C115),2)</f>
        <v>17.45</v>
      </c>
    </row>
    <row r="116" spans="1:7" ht="14.25" customHeight="1">
      <c r="A116" s="2" t="s">
        <v>165</v>
      </c>
      <c r="B116" s="3" t="s">
        <v>47</v>
      </c>
      <c r="C116" s="56">
        <v>0.03</v>
      </c>
      <c r="D116" s="57">
        <f t="shared" si="5"/>
        <v>80.569999999999993</v>
      </c>
    </row>
    <row r="117" spans="1:7" ht="14.25" customHeight="1">
      <c r="A117" s="2" t="s">
        <v>166</v>
      </c>
      <c r="B117" s="3" t="s">
        <v>49</v>
      </c>
      <c r="C117" s="56">
        <v>0.05</v>
      </c>
      <c r="D117" s="57">
        <f t="shared" si="5"/>
        <v>134.29</v>
      </c>
    </row>
    <row r="118" spans="1:7" ht="14.25" customHeight="1">
      <c r="A118" s="2" t="s">
        <v>43</v>
      </c>
      <c r="B118" s="3"/>
      <c r="C118" s="2"/>
      <c r="D118" s="9">
        <f>TRUNC(SUM(D112:D114),2)</f>
        <v>299.42</v>
      </c>
    </row>
    <row r="119" spans="1:7" ht="14.25" customHeight="1">
      <c r="A119" s="14"/>
      <c r="C119" s="14"/>
      <c r="D119" s="15"/>
    </row>
    <row r="120" spans="1:7" ht="14.25" customHeight="1">
      <c r="A120" s="115" t="s">
        <v>167</v>
      </c>
      <c r="B120" s="116"/>
      <c r="C120" s="116"/>
      <c r="D120" s="117"/>
    </row>
    <row r="121" spans="1:7" ht="14.25" customHeight="1">
      <c r="A121" s="2" t="s">
        <v>2</v>
      </c>
      <c r="B121" s="2" t="s">
        <v>168</v>
      </c>
      <c r="C121" s="2" t="s">
        <v>94</v>
      </c>
      <c r="D121" s="2" t="s">
        <v>5</v>
      </c>
    </row>
    <row r="122" spans="1:7" ht="14.25" customHeight="1">
      <c r="A122" s="2" t="s">
        <v>27</v>
      </c>
      <c r="B122" s="3" t="s">
        <v>21</v>
      </c>
      <c r="C122" s="3"/>
      <c r="D122" s="9">
        <f>D17</f>
        <v>1100</v>
      </c>
    </row>
    <row r="123" spans="1:7" ht="14.25" customHeight="1">
      <c r="A123" s="2" t="s">
        <v>30</v>
      </c>
      <c r="B123" s="3" t="s">
        <v>46</v>
      </c>
      <c r="C123" s="3"/>
      <c r="D123" s="9">
        <f>D56</f>
        <v>1158.96</v>
      </c>
    </row>
    <row r="124" spans="1:7" ht="14.25" customHeight="1">
      <c r="A124" s="2" t="s">
        <v>33</v>
      </c>
      <c r="B124" s="3" t="s">
        <v>100</v>
      </c>
      <c r="C124" s="3"/>
      <c r="D124" s="9">
        <f>D66</f>
        <v>68.53</v>
      </c>
    </row>
    <row r="125" spans="1:7" ht="14.25" customHeight="1">
      <c r="A125" s="2" t="s">
        <v>35</v>
      </c>
      <c r="B125" s="3" t="s">
        <v>169</v>
      </c>
      <c r="C125" s="3"/>
      <c r="D125" s="9">
        <f>D93</f>
        <v>45.45</v>
      </c>
    </row>
    <row r="126" spans="1:7" ht="14.25" customHeight="1">
      <c r="A126" s="2" t="s">
        <v>38</v>
      </c>
      <c r="B126" s="3" t="s">
        <v>147</v>
      </c>
      <c r="C126" s="3"/>
      <c r="D126" s="9">
        <f>D101</f>
        <v>13.44</v>
      </c>
    </row>
    <row r="127" spans="1:7" ht="14.25" customHeight="1">
      <c r="A127" s="3" t="s">
        <v>170</v>
      </c>
      <c r="B127" s="3"/>
      <c r="C127" s="3"/>
      <c r="D127" s="9">
        <f>TRUNC(SUM(D122:D126),2)</f>
        <v>2386.38</v>
      </c>
    </row>
    <row r="128" spans="1:7" ht="14.25" customHeight="1">
      <c r="A128" s="2" t="s">
        <v>40</v>
      </c>
      <c r="B128" s="3" t="s">
        <v>159</v>
      </c>
      <c r="C128" s="3"/>
      <c r="D128" s="9">
        <f>D118</f>
        <v>299.42</v>
      </c>
    </row>
    <row r="129" spans="1:4" ht="14.25" customHeight="1">
      <c r="A129" s="72" t="s">
        <v>171</v>
      </c>
      <c r="B129" s="27"/>
      <c r="C129" s="27"/>
      <c r="D129" s="73">
        <f>TRUNC((SUM(D122:D126)+D128),2)</f>
        <v>2685.8</v>
      </c>
    </row>
    <row r="130" spans="1:4" ht="14.25" customHeight="1"/>
    <row r="131" spans="1:4" ht="14.25" customHeight="1"/>
    <row r="132" spans="1:4" ht="14.25" customHeight="1"/>
    <row r="133" spans="1:4" ht="14.25" customHeight="1"/>
    <row r="134" spans="1:4" ht="14.25" customHeight="1"/>
    <row r="135" spans="1:4" ht="14.25" customHeight="1"/>
    <row r="136" spans="1:4" ht="14.25" customHeight="1"/>
    <row r="137" spans="1:4" ht="14.25" customHeight="1"/>
    <row r="138" spans="1:4" ht="14.25" customHeight="1"/>
    <row r="139" spans="1:4" ht="14.25" customHeight="1"/>
    <row r="140" spans="1:4" ht="14.25" customHeight="1"/>
    <row r="141" spans="1:4" ht="14.25" customHeight="1"/>
    <row r="142" spans="1:4" ht="14.25" customHeight="1"/>
    <row r="143" spans="1:4" ht="14.25" customHeight="1"/>
    <row r="144" spans="1: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">
    <mergeCell ref="A110:D110"/>
    <mergeCell ref="F110:G110"/>
    <mergeCell ref="A120:D120"/>
    <mergeCell ref="A42:D42"/>
    <mergeCell ref="A51:D51"/>
    <mergeCell ref="A58:D58"/>
    <mergeCell ref="A68:B71"/>
    <mergeCell ref="A73:D73"/>
    <mergeCell ref="A74:D74"/>
    <mergeCell ref="A84:D84"/>
    <mergeCell ref="A26:B28"/>
    <mergeCell ref="A30:D30"/>
    <mergeCell ref="A89:D89"/>
    <mergeCell ref="A95:D95"/>
    <mergeCell ref="A103:B108"/>
    <mergeCell ref="A1:D1"/>
    <mergeCell ref="F1:G1"/>
    <mergeCell ref="A9:D9"/>
    <mergeCell ref="A19:D19"/>
    <mergeCell ref="A20:D20"/>
  </mergeCells>
  <pageMargins left="0.511811024" right="0.511811024" top="0.78740157499999996" bottom="0.78740157499999996" header="0" footer="0"/>
  <pageSetup orientation="landscape"/>
  <legacyDrawing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G1000"/>
  <sheetViews>
    <sheetView workbookViewId="0">
      <selection activeCell="F46" sqref="F46"/>
    </sheetView>
  </sheetViews>
  <sheetFormatPr defaultColWidth="12.6640625" defaultRowHeight="15" customHeight="1"/>
  <cols>
    <col min="1" max="1" width="11.5" customWidth="1"/>
    <col min="2" max="2" width="49.1640625" customWidth="1"/>
    <col min="3" max="3" width="24.25" customWidth="1"/>
    <col min="4" max="4" width="18.1640625" customWidth="1"/>
    <col min="5" max="5" width="8" style="138" customWidth="1"/>
    <col min="6" max="6" width="25.6640625" customWidth="1"/>
    <col min="7" max="7" width="10" customWidth="1"/>
    <col min="8" max="26" width="8" customWidth="1"/>
  </cols>
  <sheetData>
    <row r="1" spans="1:7" ht="14.25" customHeight="1">
      <c r="A1" s="110" t="s">
        <v>0</v>
      </c>
      <c r="B1" s="111"/>
      <c r="C1" s="111"/>
      <c r="D1" s="112"/>
      <c r="F1" s="113" t="s">
        <v>1</v>
      </c>
      <c r="G1" s="114"/>
    </row>
    <row r="2" spans="1:7" ht="14.25" customHeight="1">
      <c r="A2" s="2" t="s">
        <v>2</v>
      </c>
      <c r="B2" s="3" t="s">
        <v>3</v>
      </c>
      <c r="C2" s="2" t="s">
        <v>4</v>
      </c>
      <c r="D2" s="2" t="s">
        <v>5</v>
      </c>
      <c r="F2" s="18" t="s">
        <v>3</v>
      </c>
      <c r="G2" s="18" t="s">
        <v>5</v>
      </c>
    </row>
    <row r="3" spans="1:7" ht="14.25" customHeight="1">
      <c r="A3" s="2">
        <v>1</v>
      </c>
      <c r="B3" s="3" t="s">
        <v>6</v>
      </c>
      <c r="C3" s="74" t="s">
        <v>190</v>
      </c>
      <c r="D3" s="2" t="s">
        <v>206</v>
      </c>
      <c r="F3" s="3" t="s">
        <v>8</v>
      </c>
      <c r="G3" s="45">
        <v>4.1500000000000004</v>
      </c>
    </row>
    <row r="4" spans="1:7" ht="14.25" customHeight="1">
      <c r="A4" s="2">
        <v>2</v>
      </c>
      <c r="B4" s="3" t="s">
        <v>9</v>
      </c>
      <c r="C4" s="2"/>
      <c r="D4" s="2" t="s">
        <v>191</v>
      </c>
      <c r="F4" s="3" t="s">
        <v>11</v>
      </c>
      <c r="G4" s="45">
        <v>16</v>
      </c>
    </row>
    <row r="5" spans="1:7" ht="14.25" customHeight="1">
      <c r="A5" s="2">
        <v>3</v>
      </c>
      <c r="B5" s="3" t="s">
        <v>12</v>
      </c>
      <c r="C5" s="2" t="s">
        <v>229</v>
      </c>
      <c r="D5" s="46">
        <v>1100</v>
      </c>
      <c r="F5" s="3" t="s">
        <v>14</v>
      </c>
      <c r="G5" s="47">
        <v>22</v>
      </c>
    </row>
    <row r="6" spans="1:7" ht="14.25" customHeight="1">
      <c r="A6" s="2">
        <v>4</v>
      </c>
      <c r="B6" s="3" t="s">
        <v>15</v>
      </c>
      <c r="C6" s="2" t="s">
        <v>208</v>
      </c>
      <c r="D6" s="2"/>
      <c r="F6" s="3" t="s">
        <v>17</v>
      </c>
      <c r="G6" s="48">
        <v>0.06</v>
      </c>
    </row>
    <row r="7" spans="1:7" ht="14.25" customHeight="1">
      <c r="A7" s="2">
        <v>5</v>
      </c>
      <c r="B7" s="3" t="s">
        <v>18</v>
      </c>
      <c r="C7" s="2"/>
      <c r="D7" s="2" t="s">
        <v>19</v>
      </c>
      <c r="F7" s="3" t="s">
        <v>209</v>
      </c>
      <c r="G7" s="49">
        <v>3</v>
      </c>
    </row>
    <row r="8" spans="1:7" ht="14.25" customHeight="1">
      <c r="F8" s="1"/>
      <c r="G8" s="50"/>
    </row>
    <row r="9" spans="1:7" ht="14.25" customHeight="1">
      <c r="A9" s="115" t="s">
        <v>21</v>
      </c>
      <c r="B9" s="116"/>
      <c r="C9" s="116"/>
      <c r="D9" s="117"/>
      <c r="F9" s="1"/>
      <c r="G9" s="50"/>
    </row>
    <row r="10" spans="1:7" ht="14.25" customHeight="1">
      <c r="A10" s="2" t="s">
        <v>24</v>
      </c>
      <c r="B10" s="3" t="s">
        <v>25</v>
      </c>
      <c r="C10" s="2" t="s">
        <v>4</v>
      </c>
      <c r="D10" s="2" t="s">
        <v>5</v>
      </c>
      <c r="F10" s="1"/>
      <c r="G10" s="50"/>
    </row>
    <row r="11" spans="1:7" ht="14.25" customHeight="1">
      <c r="A11" s="2" t="s">
        <v>27</v>
      </c>
      <c r="B11" s="3" t="s">
        <v>28</v>
      </c>
      <c r="C11" s="2"/>
      <c r="D11" s="9">
        <f>D5</f>
        <v>1100</v>
      </c>
      <c r="F11" s="1"/>
      <c r="G11" s="50"/>
    </row>
    <row r="12" spans="1:7" ht="14.25" customHeight="1">
      <c r="A12" s="2" t="s">
        <v>30</v>
      </c>
      <c r="B12" s="3" t="s">
        <v>31</v>
      </c>
      <c r="C12" s="2"/>
      <c r="D12" s="9"/>
      <c r="F12" s="1"/>
      <c r="G12" s="50"/>
    </row>
    <row r="13" spans="1:7" ht="14.25" customHeight="1">
      <c r="A13" s="2" t="s">
        <v>33</v>
      </c>
      <c r="B13" s="3" t="s">
        <v>34</v>
      </c>
      <c r="C13" s="2"/>
      <c r="D13" s="9"/>
      <c r="F13" s="1"/>
      <c r="G13" s="50"/>
    </row>
    <row r="14" spans="1:7" ht="14.25" customHeight="1">
      <c r="A14" s="2" t="s">
        <v>35</v>
      </c>
      <c r="B14" s="3" t="s">
        <v>36</v>
      </c>
      <c r="C14" s="2"/>
      <c r="D14" s="9"/>
      <c r="F14" s="1"/>
      <c r="G14" s="50"/>
    </row>
    <row r="15" spans="1:7" ht="14.25" customHeight="1">
      <c r="A15" s="2" t="s">
        <v>38</v>
      </c>
      <c r="B15" s="3" t="s">
        <v>39</v>
      </c>
      <c r="C15" s="2"/>
      <c r="D15" s="9"/>
      <c r="F15" s="1"/>
      <c r="G15" s="50"/>
    </row>
    <row r="16" spans="1:7" ht="14.25" customHeight="1">
      <c r="A16" s="2" t="s">
        <v>40</v>
      </c>
      <c r="B16" s="3" t="s">
        <v>210</v>
      </c>
      <c r="C16" s="6"/>
      <c r="D16" s="9"/>
      <c r="F16" s="1"/>
      <c r="G16" s="50"/>
    </row>
    <row r="17" spans="1:7" ht="14.25" customHeight="1">
      <c r="A17" s="2" t="s">
        <v>43</v>
      </c>
      <c r="B17" s="3"/>
      <c r="C17" s="2"/>
      <c r="D17" s="9">
        <f>TRUNC(SUM(D11:D16),2)</f>
        <v>1100</v>
      </c>
      <c r="F17" s="1"/>
      <c r="G17" s="50"/>
    </row>
    <row r="18" spans="1:7" ht="14.25" customHeight="1">
      <c r="F18" s="1"/>
      <c r="G18" s="50"/>
    </row>
    <row r="19" spans="1:7" ht="14.25" customHeight="1">
      <c r="A19" s="118" t="s">
        <v>46</v>
      </c>
      <c r="B19" s="119"/>
      <c r="C19" s="119"/>
      <c r="D19" s="120"/>
      <c r="F19" s="1"/>
      <c r="G19" s="50"/>
    </row>
    <row r="20" spans="1:7" ht="14.25" customHeight="1">
      <c r="A20" s="113" t="s">
        <v>48</v>
      </c>
      <c r="B20" s="114"/>
      <c r="C20" s="114"/>
      <c r="D20" s="114"/>
      <c r="F20" s="1"/>
      <c r="G20" s="50"/>
    </row>
    <row r="21" spans="1:7" ht="14.25" customHeight="1">
      <c r="A21" s="2" t="s">
        <v>50</v>
      </c>
      <c r="B21" s="3" t="s">
        <v>51</v>
      </c>
      <c r="C21" s="2" t="s">
        <v>4</v>
      </c>
      <c r="D21" s="2" t="s">
        <v>5</v>
      </c>
      <c r="F21" s="1"/>
      <c r="G21" s="50"/>
    </row>
    <row r="22" spans="1:7" ht="14.25" customHeight="1">
      <c r="A22" s="2" t="s">
        <v>27</v>
      </c>
      <c r="B22" s="3" t="s">
        <v>52</v>
      </c>
      <c r="C22" s="51">
        <f>(1/12)</f>
        <v>8.3333333333333329E-2</v>
      </c>
      <c r="D22" s="9">
        <f t="shared" ref="D22:D23" si="0">TRUNC($D$17*C22,2)</f>
        <v>91.66</v>
      </c>
      <c r="F22" s="1"/>
      <c r="G22" s="50"/>
    </row>
    <row r="23" spans="1:7" ht="14.25" customHeight="1">
      <c r="A23" s="2" t="s">
        <v>30</v>
      </c>
      <c r="B23" s="3" t="s">
        <v>54</v>
      </c>
      <c r="C23" s="51">
        <f>(((1+1/3)/12))</f>
        <v>0.1111111111111111</v>
      </c>
      <c r="D23" s="9">
        <f t="shared" si="0"/>
        <v>122.22</v>
      </c>
      <c r="E23" s="139"/>
      <c r="F23" s="1"/>
      <c r="G23" s="50"/>
    </row>
    <row r="24" spans="1:7" ht="14.25" customHeight="1">
      <c r="A24" s="2" t="s">
        <v>43</v>
      </c>
      <c r="B24" s="3"/>
      <c r="C24" s="3"/>
      <c r="D24" s="9">
        <f>TRUNC(SUM(D22:D23),2)</f>
        <v>213.88</v>
      </c>
      <c r="F24" s="1"/>
      <c r="G24" s="50"/>
    </row>
    <row r="25" spans="1:7" ht="14.25" customHeight="1">
      <c r="A25" s="14"/>
      <c r="D25" s="15"/>
      <c r="F25" s="1"/>
      <c r="G25" s="50"/>
    </row>
    <row r="26" spans="1:7" ht="14.25" customHeight="1">
      <c r="A26" s="129" t="s">
        <v>211</v>
      </c>
      <c r="B26" s="130"/>
      <c r="C26" s="52" t="s">
        <v>212</v>
      </c>
      <c r="D26" s="53">
        <f>D17</f>
        <v>1100</v>
      </c>
      <c r="F26" s="1"/>
      <c r="G26" s="1"/>
    </row>
    <row r="27" spans="1:7" ht="14.25" customHeight="1">
      <c r="A27" s="131"/>
      <c r="B27" s="132"/>
      <c r="C27" s="54" t="s">
        <v>213</v>
      </c>
      <c r="D27" s="53">
        <f>D24</f>
        <v>213.88</v>
      </c>
      <c r="F27" s="1"/>
      <c r="G27" s="1"/>
    </row>
    <row r="28" spans="1:7" ht="14.25" customHeight="1">
      <c r="A28" s="133"/>
      <c r="B28" s="134"/>
      <c r="C28" s="52" t="s">
        <v>199</v>
      </c>
      <c r="D28" s="55">
        <f>TRUNC(SUM(D26:D27),2)</f>
        <v>1313.88</v>
      </c>
      <c r="F28" s="1"/>
      <c r="G28" s="1"/>
    </row>
    <row r="29" spans="1:7" ht="14.25" customHeight="1">
      <c r="A29" s="14"/>
      <c r="B29" s="14"/>
      <c r="C29" s="22"/>
      <c r="F29" s="1"/>
      <c r="G29" s="1"/>
    </row>
    <row r="30" spans="1:7" ht="14.25" customHeight="1">
      <c r="A30" s="113" t="s">
        <v>65</v>
      </c>
      <c r="B30" s="114"/>
      <c r="C30" s="114"/>
      <c r="D30" s="114"/>
    </row>
    <row r="31" spans="1:7" ht="14.25" customHeight="1">
      <c r="A31" s="2" t="s">
        <v>66</v>
      </c>
      <c r="B31" s="3" t="s">
        <v>67</v>
      </c>
      <c r="C31" s="2" t="s">
        <v>23</v>
      </c>
      <c r="D31" s="2" t="s">
        <v>68</v>
      </c>
    </row>
    <row r="32" spans="1:7" ht="14.25" customHeight="1">
      <c r="A32" s="2" t="s">
        <v>27</v>
      </c>
      <c r="B32" s="3" t="s">
        <v>69</v>
      </c>
      <c r="C32" s="23">
        <v>0.2</v>
      </c>
      <c r="D32" s="9">
        <f t="shared" ref="D32:D39" si="1">TRUNC(($D$28*C32),2)</f>
        <v>262.77</v>
      </c>
    </row>
    <row r="33" spans="1:6" ht="14.25" customHeight="1">
      <c r="A33" s="2" t="s">
        <v>30</v>
      </c>
      <c r="B33" s="3" t="s">
        <v>70</v>
      </c>
      <c r="C33" s="23">
        <v>2.5000000000000001E-2</v>
      </c>
      <c r="D33" s="9">
        <f t="shared" si="1"/>
        <v>32.840000000000003</v>
      </c>
    </row>
    <row r="34" spans="1:6" ht="14.25" customHeight="1">
      <c r="A34" s="2" t="s">
        <v>33</v>
      </c>
      <c r="B34" s="3" t="s">
        <v>71</v>
      </c>
      <c r="C34" s="56">
        <v>0.06</v>
      </c>
      <c r="D34" s="57">
        <f t="shared" si="1"/>
        <v>78.83</v>
      </c>
      <c r="E34" s="140"/>
    </row>
    <row r="35" spans="1:6" ht="14.25" customHeight="1">
      <c r="A35" s="2" t="s">
        <v>35</v>
      </c>
      <c r="B35" s="3" t="s">
        <v>72</v>
      </c>
      <c r="C35" s="23">
        <v>1.4999999999999999E-2</v>
      </c>
      <c r="D35" s="9">
        <f t="shared" si="1"/>
        <v>19.7</v>
      </c>
    </row>
    <row r="36" spans="1:6" ht="14.25" customHeight="1">
      <c r="A36" s="2" t="s">
        <v>38</v>
      </c>
      <c r="B36" s="3" t="s">
        <v>73</v>
      </c>
      <c r="C36" s="23">
        <v>0.01</v>
      </c>
      <c r="D36" s="9">
        <f t="shared" si="1"/>
        <v>13.13</v>
      </c>
    </row>
    <row r="37" spans="1:6" ht="14.25" customHeight="1">
      <c r="A37" s="2" t="s">
        <v>40</v>
      </c>
      <c r="B37" s="3" t="s">
        <v>74</v>
      </c>
      <c r="C37" s="23">
        <v>6.0000000000000001E-3</v>
      </c>
      <c r="D37" s="9">
        <f t="shared" si="1"/>
        <v>7.88</v>
      </c>
    </row>
    <row r="38" spans="1:6" ht="14.25" customHeight="1">
      <c r="A38" s="2" t="s">
        <v>75</v>
      </c>
      <c r="B38" s="3" t="s">
        <v>76</v>
      </c>
      <c r="C38" s="23">
        <v>2E-3</v>
      </c>
      <c r="D38" s="9">
        <f t="shared" si="1"/>
        <v>2.62</v>
      </c>
    </row>
    <row r="39" spans="1:6" ht="14.25" customHeight="1">
      <c r="A39" s="2" t="s">
        <v>77</v>
      </c>
      <c r="B39" s="3" t="s">
        <v>78</v>
      </c>
      <c r="C39" s="23">
        <v>0.08</v>
      </c>
      <c r="D39" s="9">
        <f t="shared" si="1"/>
        <v>105.11</v>
      </c>
    </row>
    <row r="40" spans="1:6" ht="14.25" customHeight="1">
      <c r="A40" s="2" t="s">
        <v>43</v>
      </c>
      <c r="B40" s="3"/>
      <c r="C40" s="23">
        <f>SUBTOTAL(109,'Mont. Equip. Elet.'!$C$32:$C$39)</f>
        <v>0.39800000000000008</v>
      </c>
      <c r="D40" s="9">
        <f>TRUNC(SUM(D32:D39),2)</f>
        <v>522.88</v>
      </c>
    </row>
    <row r="41" spans="1:6" ht="14.25" customHeight="1">
      <c r="A41" s="14"/>
      <c r="C41" s="24"/>
      <c r="D41" s="15"/>
    </row>
    <row r="42" spans="1:6" ht="14.25" customHeight="1">
      <c r="A42" s="113" t="s">
        <v>83</v>
      </c>
      <c r="B42" s="114"/>
      <c r="C42" s="114"/>
      <c r="D42" s="114"/>
    </row>
    <row r="43" spans="1:6" ht="14.25" customHeight="1">
      <c r="A43" s="2" t="s">
        <v>84</v>
      </c>
      <c r="B43" s="3" t="s">
        <v>85</v>
      </c>
      <c r="C43" s="2" t="s">
        <v>4</v>
      </c>
      <c r="D43" s="2" t="s">
        <v>5</v>
      </c>
    </row>
    <row r="44" spans="1:6" ht="14.25" customHeight="1">
      <c r="A44" s="2" t="s">
        <v>27</v>
      </c>
      <c r="B44" s="3" t="s">
        <v>86</v>
      </c>
      <c r="C44" s="3"/>
      <c r="D44" s="57">
        <f>TRUNC(((G5*G3)*2)-((D5/100)*6),2)</f>
        <v>116.6</v>
      </c>
    </row>
    <row r="45" spans="1:6" ht="14.25" customHeight="1">
      <c r="A45" s="2" t="s">
        <v>30</v>
      </c>
      <c r="B45" s="3" t="s">
        <v>87</v>
      </c>
      <c r="C45" s="3"/>
      <c r="D45" s="57">
        <f>TRUNC((((G5*G4))-(((G5*G4))*0.2)),2)</f>
        <v>281.60000000000002</v>
      </c>
    </row>
    <row r="46" spans="1:6" ht="14.25" customHeight="1">
      <c r="A46" s="2" t="s">
        <v>33</v>
      </c>
      <c r="B46" s="3" t="s">
        <v>88</v>
      </c>
      <c r="C46" s="6" t="s">
        <v>208</v>
      </c>
      <c r="D46" s="57">
        <v>5</v>
      </c>
      <c r="E46" s="140"/>
      <c r="F46" s="36"/>
    </row>
    <row r="47" spans="1:6" ht="14.25" customHeight="1">
      <c r="A47" s="2" t="s">
        <v>35</v>
      </c>
      <c r="B47" s="3" t="s">
        <v>89</v>
      </c>
      <c r="C47" s="6" t="s">
        <v>208</v>
      </c>
      <c r="D47" s="57">
        <v>4</v>
      </c>
    </row>
    <row r="48" spans="1:6" ht="14.25" customHeight="1">
      <c r="A48" s="2" t="s">
        <v>38</v>
      </c>
      <c r="B48" s="3" t="s">
        <v>91</v>
      </c>
      <c r="C48" s="6" t="s">
        <v>208</v>
      </c>
      <c r="D48" s="57">
        <v>15</v>
      </c>
    </row>
    <row r="49" spans="1:5" ht="14.25" customHeight="1">
      <c r="A49" s="2" t="s">
        <v>43</v>
      </c>
      <c r="B49" s="3"/>
      <c r="C49" s="3"/>
      <c r="D49" s="9">
        <f>TRUNC(SUM(D44:D48),2)</f>
        <v>422.2</v>
      </c>
    </row>
    <row r="50" spans="1:5" ht="14.25" customHeight="1">
      <c r="A50" s="14"/>
      <c r="D50" s="15"/>
    </row>
    <row r="51" spans="1:5" ht="14.25" customHeight="1">
      <c r="A51" s="113" t="s">
        <v>97</v>
      </c>
      <c r="B51" s="114"/>
      <c r="C51" s="114"/>
      <c r="D51" s="114"/>
    </row>
    <row r="52" spans="1:5" ht="14.25" customHeight="1">
      <c r="A52" s="2" t="s">
        <v>98</v>
      </c>
      <c r="B52" s="3" t="s">
        <v>99</v>
      </c>
      <c r="C52" s="2" t="s">
        <v>4</v>
      </c>
      <c r="D52" s="2" t="s">
        <v>5</v>
      </c>
    </row>
    <row r="53" spans="1:5" ht="14.25" customHeight="1">
      <c r="A53" s="2" t="s">
        <v>50</v>
      </c>
      <c r="B53" s="3" t="s">
        <v>51</v>
      </c>
      <c r="C53" s="2"/>
      <c r="D53" s="9">
        <f>D24</f>
        <v>213.88</v>
      </c>
    </row>
    <row r="54" spans="1:5" ht="14.25" customHeight="1">
      <c r="A54" s="2" t="s">
        <v>66</v>
      </c>
      <c r="B54" s="3" t="s">
        <v>67</v>
      </c>
      <c r="C54" s="2"/>
      <c r="D54" s="9">
        <f>D40</f>
        <v>522.88</v>
      </c>
    </row>
    <row r="55" spans="1:5" ht="14.25" customHeight="1">
      <c r="A55" s="2" t="s">
        <v>84</v>
      </c>
      <c r="B55" s="3" t="s">
        <v>85</v>
      </c>
      <c r="C55" s="2"/>
      <c r="D55" s="9">
        <f>D49</f>
        <v>422.2</v>
      </c>
    </row>
    <row r="56" spans="1:5" ht="14.25" customHeight="1">
      <c r="A56" s="2" t="s">
        <v>43</v>
      </c>
      <c r="B56" s="3"/>
      <c r="C56" s="2"/>
      <c r="D56" s="9">
        <f>TRUNC(SUM(D53:D55),2)</f>
        <v>1158.96</v>
      </c>
    </row>
    <row r="57" spans="1:5" ht="14.25" customHeight="1"/>
    <row r="58" spans="1:5" ht="14.25" customHeight="1">
      <c r="A58" s="115" t="s">
        <v>100</v>
      </c>
      <c r="B58" s="116"/>
      <c r="C58" s="116"/>
      <c r="D58" s="117"/>
    </row>
    <row r="59" spans="1:5" ht="14.25" customHeight="1">
      <c r="A59" s="2" t="s">
        <v>101</v>
      </c>
      <c r="B59" s="3" t="s">
        <v>102</v>
      </c>
      <c r="C59" s="2" t="s">
        <v>4</v>
      </c>
      <c r="D59" s="2" t="s">
        <v>5</v>
      </c>
    </row>
    <row r="60" spans="1:5" ht="14.25" customHeight="1">
      <c r="A60" s="2" t="s">
        <v>27</v>
      </c>
      <c r="B60" s="59" t="s">
        <v>103</v>
      </c>
      <c r="C60" s="60">
        <f>((1/12)*5%)</f>
        <v>4.1666666666666666E-3</v>
      </c>
      <c r="D60" s="61">
        <f>TRUNC(($D$17*C60),2)</f>
        <v>4.58</v>
      </c>
      <c r="E60" s="140"/>
    </row>
    <row r="61" spans="1:5" ht="14.25" customHeight="1">
      <c r="A61" s="2" t="s">
        <v>30</v>
      </c>
      <c r="B61" s="59" t="s">
        <v>104</v>
      </c>
      <c r="C61" s="51">
        <v>0.08</v>
      </c>
      <c r="D61" s="62">
        <f>TRUNC(D60*C61,2)</f>
        <v>0.36</v>
      </c>
    </row>
    <row r="62" spans="1:5" ht="14.25" customHeight="1">
      <c r="A62" s="2" t="s">
        <v>33</v>
      </c>
      <c r="B62" s="59" t="s">
        <v>105</v>
      </c>
      <c r="C62" s="60">
        <f>(0.08*0.4*0.05)</f>
        <v>1.6000000000000001E-3</v>
      </c>
      <c r="D62" s="61">
        <f t="shared" ref="D62:D63" si="2">TRUNC(($D$17*C62),2)</f>
        <v>1.76</v>
      </c>
      <c r="E62" s="140"/>
    </row>
    <row r="63" spans="1:5" ht="14.25" customHeight="1">
      <c r="A63" s="2" t="s">
        <v>35</v>
      </c>
      <c r="B63" s="59" t="s">
        <v>106</v>
      </c>
      <c r="C63" s="51">
        <f>(((7/30)/12)*0.95)</f>
        <v>1.8472222222222223E-2</v>
      </c>
      <c r="D63" s="62">
        <f t="shared" si="2"/>
        <v>20.309999999999999</v>
      </c>
    </row>
    <row r="64" spans="1:5" ht="14.25" customHeight="1">
      <c r="A64" s="2" t="s">
        <v>38</v>
      </c>
      <c r="B64" s="59" t="s">
        <v>214</v>
      </c>
      <c r="C64" s="51">
        <f>C40</f>
        <v>0.39800000000000008</v>
      </c>
      <c r="D64" s="62">
        <f>TRUNC(D63*C64,2)</f>
        <v>8.08</v>
      </c>
    </row>
    <row r="65" spans="1:5" ht="14.25" customHeight="1">
      <c r="A65" s="2" t="s">
        <v>40</v>
      </c>
      <c r="B65" s="59" t="s">
        <v>107</v>
      </c>
      <c r="C65" s="60">
        <f>(0.08*0.4*0.95)</f>
        <v>3.04E-2</v>
      </c>
      <c r="D65" s="61">
        <f>TRUNC(($D$17*C65),2)</f>
        <v>33.44</v>
      </c>
      <c r="E65" s="140"/>
    </row>
    <row r="66" spans="1:5" ht="14.25" customHeight="1">
      <c r="A66" s="2" t="s">
        <v>43</v>
      </c>
      <c r="B66" s="3"/>
      <c r="C66" s="3"/>
      <c r="D66" s="9">
        <f>TRUNC(SUM(D60:D65),2)</f>
        <v>68.53</v>
      </c>
    </row>
    <row r="67" spans="1:5" ht="14.25" customHeight="1">
      <c r="A67" s="14"/>
      <c r="D67" s="15"/>
    </row>
    <row r="68" spans="1:5" ht="14.25" customHeight="1">
      <c r="A68" s="129" t="s">
        <v>215</v>
      </c>
      <c r="B68" s="130"/>
      <c r="C68" s="52" t="s">
        <v>212</v>
      </c>
      <c r="D68" s="53">
        <f>D17</f>
        <v>1100</v>
      </c>
    </row>
    <row r="69" spans="1:5" ht="14.25" customHeight="1">
      <c r="A69" s="131"/>
      <c r="B69" s="132"/>
      <c r="C69" s="54" t="s">
        <v>216</v>
      </c>
      <c r="D69" s="53">
        <f>D56</f>
        <v>1158.96</v>
      </c>
    </row>
    <row r="70" spans="1:5" ht="14.25" customHeight="1">
      <c r="A70" s="131"/>
      <c r="B70" s="132"/>
      <c r="C70" s="52" t="s">
        <v>217</v>
      </c>
      <c r="D70" s="53">
        <f>D66</f>
        <v>68.53</v>
      </c>
    </row>
    <row r="71" spans="1:5" ht="14.25" customHeight="1">
      <c r="A71" s="133"/>
      <c r="B71" s="134"/>
      <c r="C71" s="54" t="s">
        <v>199</v>
      </c>
      <c r="D71" s="55">
        <f>TRUNC((SUM(D68:D70)),2)</f>
        <v>2327.4899999999998</v>
      </c>
    </row>
    <row r="72" spans="1:5" ht="14.25" customHeight="1">
      <c r="A72" s="14"/>
      <c r="D72" s="15"/>
    </row>
    <row r="73" spans="1:5" ht="14.25" customHeight="1">
      <c r="A73" s="122" t="s">
        <v>119</v>
      </c>
      <c r="B73" s="119"/>
      <c r="C73" s="119"/>
      <c r="D73" s="120"/>
    </row>
    <row r="74" spans="1:5" ht="14.25" customHeight="1">
      <c r="A74" s="113" t="s">
        <v>120</v>
      </c>
      <c r="B74" s="114"/>
      <c r="C74" s="114"/>
      <c r="D74" s="114"/>
    </row>
    <row r="75" spans="1:5" ht="14.25" customHeight="1">
      <c r="A75" s="2" t="s">
        <v>121</v>
      </c>
      <c r="B75" s="3" t="s">
        <v>122</v>
      </c>
      <c r="C75" s="2" t="s">
        <v>123</v>
      </c>
      <c r="D75" s="2" t="s">
        <v>5</v>
      </c>
    </row>
    <row r="76" spans="1:5" ht="14.25" customHeight="1">
      <c r="A76" s="2" t="s">
        <v>27</v>
      </c>
      <c r="B76" s="59" t="s">
        <v>124</v>
      </c>
      <c r="C76" s="60">
        <f>((1+1/3)/12)/12</f>
        <v>9.2592592592592587E-3</v>
      </c>
      <c r="D76" s="64">
        <f t="shared" ref="D76:D81" si="3">TRUNC(($D$71*C76),2)</f>
        <v>21.55</v>
      </c>
      <c r="E76" s="139"/>
    </row>
    <row r="77" spans="1:5" ht="14.25" customHeight="1">
      <c r="A77" s="2" t="s">
        <v>30</v>
      </c>
      <c r="B77" s="59" t="s">
        <v>125</v>
      </c>
      <c r="C77" s="60">
        <f>((2/30)/12)</f>
        <v>5.5555555555555558E-3</v>
      </c>
      <c r="D77" s="64">
        <f t="shared" si="3"/>
        <v>12.93</v>
      </c>
      <c r="E77" s="139"/>
    </row>
    <row r="78" spans="1:5" ht="14.25" customHeight="1">
      <c r="A78" s="2" t="s">
        <v>33</v>
      </c>
      <c r="B78" s="59" t="s">
        <v>126</v>
      </c>
      <c r="C78" s="60">
        <f>(((5/30)/12)*0.02)</f>
        <v>2.7777777777777778E-4</v>
      </c>
      <c r="D78" s="64">
        <f t="shared" si="3"/>
        <v>0.64</v>
      </c>
      <c r="E78" s="139"/>
    </row>
    <row r="79" spans="1:5" ht="14.25" customHeight="1">
      <c r="A79" s="2" t="s">
        <v>35</v>
      </c>
      <c r="B79" s="59" t="s">
        <v>127</v>
      </c>
      <c r="C79" s="60">
        <f>((15/30)/12)*0.08</f>
        <v>3.3333333333333331E-3</v>
      </c>
      <c r="D79" s="64">
        <f t="shared" si="3"/>
        <v>7.75</v>
      </c>
      <c r="E79" s="139"/>
    </row>
    <row r="80" spans="1:5" ht="14.25" customHeight="1">
      <c r="A80" s="2" t="s">
        <v>38</v>
      </c>
      <c r="B80" s="59" t="s">
        <v>128</v>
      </c>
      <c r="C80" s="60">
        <f>((1+1/3)/12)*0.03*((4/12))</f>
        <v>1.1111111111111109E-3</v>
      </c>
      <c r="D80" s="64">
        <f t="shared" si="3"/>
        <v>2.58</v>
      </c>
      <c r="E80" s="139"/>
    </row>
    <row r="81" spans="1:5" ht="14.25" customHeight="1">
      <c r="A81" s="2" t="s">
        <v>40</v>
      </c>
      <c r="B81" s="59" t="s">
        <v>218</v>
      </c>
      <c r="C81" s="60">
        <v>0</v>
      </c>
      <c r="D81" s="64">
        <f t="shared" si="3"/>
        <v>0</v>
      </c>
      <c r="E81" s="139"/>
    </row>
    <row r="82" spans="1:5" ht="14.25" customHeight="1">
      <c r="A82" s="2" t="s">
        <v>43</v>
      </c>
      <c r="B82" s="3"/>
      <c r="C82" s="23">
        <f>SUBTOTAL(109,'Mont. Equip. Elet.'!$C$76:$C$81)</f>
        <v>1.9537037037037037E-2</v>
      </c>
      <c r="D82" s="9">
        <f>TRUNC(SUM(D76:D81),2)</f>
        <v>45.45</v>
      </c>
    </row>
    <row r="83" spans="1:5" ht="14.25" customHeight="1">
      <c r="A83" s="14"/>
      <c r="C83" s="14"/>
      <c r="D83" s="15"/>
    </row>
    <row r="84" spans="1:5" ht="14.25" customHeight="1">
      <c r="A84" s="113" t="s">
        <v>139</v>
      </c>
      <c r="B84" s="114"/>
      <c r="C84" s="114"/>
      <c r="D84" s="114"/>
    </row>
    <row r="85" spans="1:5" ht="14.25" customHeight="1">
      <c r="A85" s="2" t="s">
        <v>140</v>
      </c>
      <c r="B85" s="3" t="s">
        <v>141</v>
      </c>
      <c r="C85" s="2" t="s">
        <v>4</v>
      </c>
      <c r="D85" s="2" t="s">
        <v>5</v>
      </c>
    </row>
    <row r="86" spans="1:5" ht="14.25" customHeight="1">
      <c r="A86" s="2" t="s">
        <v>27</v>
      </c>
      <c r="B86" s="3" t="s">
        <v>142</v>
      </c>
      <c r="C86" s="2"/>
      <c r="D86" s="9"/>
    </row>
    <row r="87" spans="1:5" ht="14.25" customHeight="1">
      <c r="A87" s="2" t="s">
        <v>43</v>
      </c>
      <c r="B87" s="3"/>
      <c r="C87" s="2"/>
      <c r="D87" s="9">
        <f>SUBTOTAL(109,'Mont. Equip. Elet.'!$D$86)</f>
        <v>0</v>
      </c>
    </row>
    <row r="88" spans="1:5" ht="14.25" customHeight="1"/>
    <row r="89" spans="1:5" ht="14.25" customHeight="1">
      <c r="A89" s="113" t="s">
        <v>143</v>
      </c>
      <c r="B89" s="114"/>
      <c r="C89" s="114"/>
      <c r="D89" s="114"/>
    </row>
    <row r="90" spans="1:5" ht="14.25" customHeight="1">
      <c r="A90" s="2" t="s">
        <v>144</v>
      </c>
      <c r="B90" s="3" t="s">
        <v>145</v>
      </c>
      <c r="C90" s="2" t="s">
        <v>4</v>
      </c>
      <c r="D90" s="2" t="s">
        <v>5</v>
      </c>
    </row>
    <row r="91" spans="1:5" ht="14.25" customHeight="1">
      <c r="A91" s="2" t="s">
        <v>121</v>
      </c>
      <c r="B91" s="3" t="s">
        <v>122</v>
      </c>
      <c r="C91" s="3"/>
      <c r="D91" s="9">
        <f>D82</f>
        <v>45.45</v>
      </c>
    </row>
    <row r="92" spans="1:5" ht="14.25" customHeight="1">
      <c r="A92" s="2" t="s">
        <v>140</v>
      </c>
      <c r="B92" s="3" t="s">
        <v>146</v>
      </c>
      <c r="C92" s="3"/>
      <c r="D92" s="9">
        <f>'Mont. Equip. Elet.'!$D$87</f>
        <v>0</v>
      </c>
    </row>
    <row r="93" spans="1:5" ht="14.25" customHeight="1">
      <c r="A93" s="2" t="s">
        <v>43</v>
      </c>
      <c r="B93" s="3"/>
      <c r="C93" s="3"/>
      <c r="D93" s="9">
        <f>TRUNC(SUM(D91:D92),2)</f>
        <v>45.45</v>
      </c>
    </row>
    <row r="94" spans="1:5" ht="14.25" customHeight="1"/>
    <row r="95" spans="1:5" ht="14.25" customHeight="1">
      <c r="A95" s="115" t="s">
        <v>147</v>
      </c>
      <c r="B95" s="116"/>
      <c r="C95" s="116"/>
      <c r="D95" s="117"/>
    </row>
    <row r="96" spans="1:5" ht="14.25" customHeight="1">
      <c r="A96" s="2" t="s">
        <v>148</v>
      </c>
      <c r="B96" s="3" t="s">
        <v>149</v>
      </c>
      <c r="C96" s="2" t="s">
        <v>4</v>
      </c>
      <c r="D96" s="2" t="s">
        <v>5</v>
      </c>
    </row>
    <row r="97" spans="1:7" ht="14.25" customHeight="1">
      <c r="A97" s="2" t="s">
        <v>27</v>
      </c>
      <c r="B97" s="3" t="s">
        <v>219</v>
      </c>
      <c r="C97" s="3"/>
      <c r="D97" s="66">
        <v>10.220000000000001</v>
      </c>
      <c r="E97" s="140"/>
    </row>
    <row r="98" spans="1:7" ht="14.25" customHeight="1">
      <c r="A98" s="2" t="s">
        <v>30</v>
      </c>
      <c r="B98" s="3" t="s">
        <v>151</v>
      </c>
      <c r="C98" s="3"/>
      <c r="D98" s="66">
        <v>0</v>
      </c>
    </row>
    <row r="99" spans="1:7" ht="14.25" customHeight="1">
      <c r="A99" s="2" t="s">
        <v>33</v>
      </c>
      <c r="B99" s="3" t="s">
        <v>152</v>
      </c>
      <c r="C99" s="3"/>
      <c r="D99" s="66">
        <v>0</v>
      </c>
    </row>
    <row r="100" spans="1:7" ht="14.25" customHeight="1">
      <c r="A100" s="2" t="s">
        <v>35</v>
      </c>
      <c r="B100" s="3" t="s">
        <v>220</v>
      </c>
      <c r="C100" s="3"/>
      <c r="D100" s="66">
        <v>0</v>
      </c>
    </row>
    <row r="101" spans="1:7" ht="14.25" customHeight="1">
      <c r="A101" s="2" t="s">
        <v>43</v>
      </c>
      <c r="B101" s="3"/>
      <c r="C101" s="3"/>
      <c r="D101" s="9">
        <f>TRUNC(SUM(D97:D100),2)</f>
        <v>10.220000000000001</v>
      </c>
    </row>
    <row r="102" spans="1:7" ht="14.25" customHeight="1">
      <c r="A102" s="14"/>
      <c r="D102" s="15"/>
    </row>
    <row r="103" spans="1:7" ht="14.25" customHeight="1">
      <c r="A103" s="129" t="s">
        <v>221</v>
      </c>
      <c r="B103" s="130"/>
      <c r="C103" s="52" t="s">
        <v>212</v>
      </c>
      <c r="D103" s="53">
        <f>D17</f>
        <v>1100</v>
      </c>
    </row>
    <row r="104" spans="1:7" ht="14.25" customHeight="1">
      <c r="A104" s="131"/>
      <c r="B104" s="132"/>
      <c r="C104" s="54" t="s">
        <v>216</v>
      </c>
      <c r="D104" s="53">
        <f>D56</f>
        <v>1158.96</v>
      </c>
    </row>
    <row r="105" spans="1:7" ht="14.25" customHeight="1">
      <c r="A105" s="131"/>
      <c r="B105" s="132"/>
      <c r="C105" s="52" t="s">
        <v>217</v>
      </c>
      <c r="D105" s="53">
        <f>D66</f>
        <v>68.53</v>
      </c>
    </row>
    <row r="106" spans="1:7" ht="14.25" customHeight="1">
      <c r="A106" s="131"/>
      <c r="B106" s="132"/>
      <c r="C106" s="54" t="s">
        <v>222</v>
      </c>
      <c r="D106" s="53">
        <f>D93</f>
        <v>45.45</v>
      </c>
    </row>
    <row r="107" spans="1:7" ht="14.25" customHeight="1">
      <c r="A107" s="131"/>
      <c r="B107" s="132"/>
      <c r="C107" s="52" t="s">
        <v>223</v>
      </c>
      <c r="D107" s="53">
        <f>D101</f>
        <v>10.220000000000001</v>
      </c>
    </row>
    <row r="108" spans="1:7" ht="14.25" customHeight="1">
      <c r="A108" s="133"/>
      <c r="B108" s="134"/>
      <c r="C108" s="54" t="s">
        <v>199</v>
      </c>
      <c r="D108" s="55">
        <f>TRUNC((SUM(D103:D107)),2)</f>
        <v>2383.16</v>
      </c>
    </row>
    <row r="109" spans="1:7" ht="14.25" customHeight="1">
      <c r="A109" s="14"/>
      <c r="D109" s="15"/>
    </row>
    <row r="110" spans="1:7" ht="14.25" customHeight="1">
      <c r="A110" s="115" t="s">
        <v>159</v>
      </c>
      <c r="B110" s="116"/>
      <c r="C110" s="116"/>
      <c r="D110" s="117"/>
      <c r="F110" s="135" t="s">
        <v>224</v>
      </c>
      <c r="G110" s="136"/>
    </row>
    <row r="111" spans="1:7" ht="14.25" customHeight="1">
      <c r="A111" s="2" t="s">
        <v>160</v>
      </c>
      <c r="B111" s="3" t="s">
        <v>161</v>
      </c>
      <c r="C111" s="2" t="s">
        <v>23</v>
      </c>
      <c r="D111" s="2" t="s">
        <v>5</v>
      </c>
      <c r="F111" s="67" t="s">
        <v>225</v>
      </c>
      <c r="G111" s="68">
        <f>C114</f>
        <v>8.6499999999999994E-2</v>
      </c>
    </row>
    <row r="112" spans="1:7" ht="14.25" customHeight="1">
      <c r="A112" s="2" t="s">
        <v>27</v>
      </c>
      <c r="B112" s="3" t="s">
        <v>162</v>
      </c>
      <c r="C112" s="56">
        <v>2.2499999999999999E-2</v>
      </c>
      <c r="D112" s="57">
        <f>TRUNC(($D$108*C112),2)</f>
        <v>53.62</v>
      </c>
      <c r="E112" s="140"/>
      <c r="F112" s="69" t="s">
        <v>226</v>
      </c>
      <c r="G112" s="70">
        <f>TRUNC(SUM(D108,D112,D113),2)</f>
        <v>2450.1799999999998</v>
      </c>
    </row>
    <row r="113" spans="1:7" ht="14.25" customHeight="1">
      <c r="A113" s="2" t="s">
        <v>30</v>
      </c>
      <c r="B113" s="3" t="s">
        <v>44</v>
      </c>
      <c r="C113" s="56">
        <v>5.4999999999999997E-3</v>
      </c>
      <c r="D113" s="57">
        <f>TRUNC((D108+D112)*C113,2)</f>
        <v>13.4</v>
      </c>
      <c r="E113" s="140"/>
      <c r="F113" s="67" t="s">
        <v>227</v>
      </c>
      <c r="G113" s="71">
        <f>(100-8.65)/100</f>
        <v>0.91349999999999998</v>
      </c>
    </row>
    <row r="114" spans="1:7" ht="14.25" customHeight="1">
      <c r="A114" s="2" t="s">
        <v>33</v>
      </c>
      <c r="B114" s="3" t="s">
        <v>163</v>
      </c>
      <c r="C114" s="56">
        <f t="shared" ref="C114:D114" si="4">SUM(C115:C117)</f>
        <v>8.6499999999999994E-2</v>
      </c>
      <c r="D114" s="57">
        <f t="shared" si="4"/>
        <v>231.98999999999998</v>
      </c>
      <c r="F114" s="69" t="s">
        <v>224</v>
      </c>
      <c r="G114" s="70">
        <f>TRUNC((G112/G113),2)</f>
        <v>2682.18</v>
      </c>
    </row>
    <row r="115" spans="1:7" ht="14.25" customHeight="1">
      <c r="A115" s="2" t="s">
        <v>164</v>
      </c>
      <c r="B115" s="3" t="s">
        <v>45</v>
      </c>
      <c r="C115" s="56">
        <v>6.4999999999999997E-3</v>
      </c>
      <c r="D115" s="57">
        <f t="shared" ref="D115:D117" si="5">TRUNC(($G$114*C115),2)</f>
        <v>17.43</v>
      </c>
    </row>
    <row r="116" spans="1:7" ht="14.25" customHeight="1">
      <c r="A116" s="2" t="s">
        <v>165</v>
      </c>
      <c r="B116" s="3" t="s">
        <v>47</v>
      </c>
      <c r="C116" s="56">
        <v>0.03</v>
      </c>
      <c r="D116" s="57">
        <f t="shared" si="5"/>
        <v>80.459999999999994</v>
      </c>
    </row>
    <row r="117" spans="1:7" ht="14.25" customHeight="1">
      <c r="A117" s="2" t="s">
        <v>166</v>
      </c>
      <c r="B117" s="3" t="s">
        <v>49</v>
      </c>
      <c r="C117" s="56">
        <v>0.05</v>
      </c>
      <c r="D117" s="57">
        <f t="shared" si="5"/>
        <v>134.1</v>
      </c>
    </row>
    <row r="118" spans="1:7" ht="14.25" customHeight="1">
      <c r="A118" s="2" t="s">
        <v>43</v>
      </c>
      <c r="B118" s="3"/>
      <c r="C118" s="2"/>
      <c r="D118" s="9">
        <f>TRUNC(SUM(D112:D114),2)</f>
        <v>299.01</v>
      </c>
    </row>
    <row r="119" spans="1:7" ht="14.25" customHeight="1">
      <c r="A119" s="14"/>
      <c r="C119" s="14"/>
      <c r="D119" s="15"/>
    </row>
    <row r="120" spans="1:7" ht="14.25" customHeight="1">
      <c r="A120" s="115" t="s">
        <v>167</v>
      </c>
      <c r="B120" s="116"/>
      <c r="C120" s="116"/>
      <c r="D120" s="117"/>
    </row>
    <row r="121" spans="1:7" ht="14.25" customHeight="1">
      <c r="A121" s="2" t="s">
        <v>2</v>
      </c>
      <c r="B121" s="2" t="s">
        <v>168</v>
      </c>
      <c r="C121" s="2" t="s">
        <v>94</v>
      </c>
      <c r="D121" s="2" t="s">
        <v>5</v>
      </c>
    </row>
    <row r="122" spans="1:7" ht="14.25" customHeight="1">
      <c r="A122" s="2" t="s">
        <v>27</v>
      </c>
      <c r="B122" s="3" t="s">
        <v>21</v>
      </c>
      <c r="C122" s="3"/>
      <c r="D122" s="9">
        <f>D17</f>
        <v>1100</v>
      </c>
    </row>
    <row r="123" spans="1:7" ht="14.25" customHeight="1">
      <c r="A123" s="2" t="s">
        <v>30</v>
      </c>
      <c r="B123" s="3" t="s">
        <v>46</v>
      </c>
      <c r="C123" s="3"/>
      <c r="D123" s="9">
        <f>D56</f>
        <v>1158.96</v>
      </c>
    </row>
    <row r="124" spans="1:7" ht="14.25" customHeight="1">
      <c r="A124" s="2" t="s">
        <v>33</v>
      </c>
      <c r="B124" s="3" t="s">
        <v>100</v>
      </c>
      <c r="C124" s="3"/>
      <c r="D124" s="9">
        <f>D66</f>
        <v>68.53</v>
      </c>
    </row>
    <row r="125" spans="1:7" ht="14.25" customHeight="1">
      <c r="A125" s="2" t="s">
        <v>35</v>
      </c>
      <c r="B125" s="3" t="s">
        <v>169</v>
      </c>
      <c r="C125" s="3"/>
      <c r="D125" s="9">
        <f>D93</f>
        <v>45.45</v>
      </c>
    </row>
    <row r="126" spans="1:7" ht="14.25" customHeight="1">
      <c r="A126" s="2" t="s">
        <v>38</v>
      </c>
      <c r="B126" s="3" t="s">
        <v>147</v>
      </c>
      <c r="C126" s="3"/>
      <c r="D126" s="9">
        <f>D101</f>
        <v>10.220000000000001</v>
      </c>
    </row>
    <row r="127" spans="1:7" ht="14.25" customHeight="1">
      <c r="A127" s="3" t="s">
        <v>170</v>
      </c>
      <c r="B127" s="3"/>
      <c r="C127" s="3"/>
      <c r="D127" s="9">
        <f>TRUNC(SUM(D122:D126),2)</f>
        <v>2383.16</v>
      </c>
    </row>
    <row r="128" spans="1:7" ht="14.25" customHeight="1">
      <c r="A128" s="2" t="s">
        <v>40</v>
      </c>
      <c r="B128" s="3" t="s">
        <v>159</v>
      </c>
      <c r="C128" s="3"/>
      <c r="D128" s="9">
        <f>D118</f>
        <v>299.01</v>
      </c>
    </row>
    <row r="129" spans="1:4" ht="14.25" customHeight="1">
      <c r="A129" s="72" t="s">
        <v>171</v>
      </c>
      <c r="B129" s="27"/>
      <c r="C129" s="27"/>
      <c r="D129" s="73">
        <f>TRUNC((SUM(D122:D126)+D128),2)</f>
        <v>2682.17</v>
      </c>
    </row>
    <row r="130" spans="1:4" ht="14.25" customHeight="1"/>
    <row r="131" spans="1:4" ht="14.25" customHeight="1"/>
    <row r="132" spans="1:4" ht="14.25" customHeight="1"/>
    <row r="133" spans="1:4" ht="14.25" customHeight="1"/>
    <row r="134" spans="1:4" ht="14.25" customHeight="1"/>
    <row r="135" spans="1:4" ht="14.25" customHeight="1"/>
    <row r="136" spans="1:4" ht="14.25" customHeight="1"/>
    <row r="137" spans="1:4" ht="14.25" customHeight="1"/>
    <row r="138" spans="1:4" ht="14.25" customHeight="1"/>
    <row r="139" spans="1:4" ht="14.25" customHeight="1"/>
    <row r="140" spans="1:4" ht="14.25" customHeight="1"/>
    <row r="141" spans="1:4" ht="14.25" customHeight="1"/>
    <row r="142" spans="1:4" ht="14.25" customHeight="1"/>
    <row r="143" spans="1:4" ht="14.25" customHeight="1"/>
    <row r="144" spans="1: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">
    <mergeCell ref="A110:D110"/>
    <mergeCell ref="F110:G110"/>
    <mergeCell ref="A120:D120"/>
    <mergeCell ref="A42:D42"/>
    <mergeCell ref="A51:D51"/>
    <mergeCell ref="A58:D58"/>
    <mergeCell ref="A68:B71"/>
    <mergeCell ref="A73:D73"/>
    <mergeCell ref="A74:D74"/>
    <mergeCell ref="A84:D84"/>
    <mergeCell ref="A26:B28"/>
    <mergeCell ref="A30:D30"/>
    <mergeCell ref="A89:D89"/>
    <mergeCell ref="A95:D95"/>
    <mergeCell ref="A103:B108"/>
    <mergeCell ref="A1:D1"/>
    <mergeCell ref="F1:G1"/>
    <mergeCell ref="A9:D9"/>
    <mergeCell ref="A19:D19"/>
    <mergeCell ref="A20:D20"/>
  </mergeCells>
  <pageMargins left="0.511811024" right="0.511811024" top="0.78740157499999996" bottom="0.78740157499999996" header="0" footer="0"/>
  <pageSetup orientation="landscape"/>
  <legacyDrawing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G1000"/>
  <sheetViews>
    <sheetView workbookViewId="0">
      <selection activeCell="F46" sqref="F46"/>
    </sheetView>
  </sheetViews>
  <sheetFormatPr defaultColWidth="12.6640625" defaultRowHeight="15" customHeight="1"/>
  <cols>
    <col min="1" max="1" width="11.5" customWidth="1"/>
    <col min="2" max="2" width="49.1640625" customWidth="1"/>
    <col min="3" max="3" width="24.25" customWidth="1"/>
    <col min="4" max="4" width="18.1640625" customWidth="1"/>
    <col min="5" max="5" width="8" style="138" customWidth="1"/>
    <col min="6" max="6" width="25.6640625" customWidth="1"/>
    <col min="7" max="7" width="10" customWidth="1"/>
    <col min="8" max="26" width="8" customWidth="1"/>
  </cols>
  <sheetData>
    <row r="1" spans="1:7" ht="14.25" customHeight="1">
      <c r="A1" s="110" t="s">
        <v>0</v>
      </c>
      <c r="B1" s="111"/>
      <c r="C1" s="111"/>
      <c r="D1" s="112"/>
      <c r="F1" s="113" t="s">
        <v>1</v>
      </c>
      <c r="G1" s="114"/>
    </row>
    <row r="2" spans="1:7" ht="14.25" customHeight="1">
      <c r="A2" s="2" t="s">
        <v>2</v>
      </c>
      <c r="B2" s="3" t="s">
        <v>3</v>
      </c>
      <c r="C2" s="2" t="s">
        <v>4</v>
      </c>
      <c r="D2" s="2" t="s">
        <v>5</v>
      </c>
      <c r="F2" s="18" t="s">
        <v>3</v>
      </c>
      <c r="G2" s="18" t="s">
        <v>5</v>
      </c>
    </row>
    <row r="3" spans="1:7" ht="14.25" customHeight="1">
      <c r="A3" s="2">
        <v>1</v>
      </c>
      <c r="B3" s="3" t="s">
        <v>6</v>
      </c>
      <c r="C3" s="74" t="s">
        <v>192</v>
      </c>
      <c r="D3" s="2" t="s">
        <v>206</v>
      </c>
      <c r="F3" s="3" t="s">
        <v>8</v>
      </c>
      <c r="G3" s="45">
        <v>4.1500000000000004</v>
      </c>
    </row>
    <row r="4" spans="1:7" ht="14.25" customHeight="1">
      <c r="A4" s="2">
        <v>2</v>
      </c>
      <c r="B4" s="3" t="s">
        <v>9</v>
      </c>
      <c r="C4" s="2"/>
      <c r="D4" s="2" t="s">
        <v>193</v>
      </c>
      <c r="F4" s="3" t="s">
        <v>11</v>
      </c>
      <c r="G4" s="45">
        <v>16</v>
      </c>
    </row>
    <row r="5" spans="1:7" ht="14.25" customHeight="1">
      <c r="A5" s="2">
        <v>3</v>
      </c>
      <c r="B5" s="3" t="s">
        <v>12</v>
      </c>
      <c r="C5" s="2" t="s">
        <v>207</v>
      </c>
      <c r="D5" s="46">
        <v>1100</v>
      </c>
      <c r="F5" s="3" t="s">
        <v>14</v>
      </c>
      <c r="G5" s="47">
        <v>22</v>
      </c>
    </row>
    <row r="6" spans="1:7" ht="14.25" customHeight="1">
      <c r="A6" s="2">
        <v>4</v>
      </c>
      <c r="B6" s="3" t="s">
        <v>15</v>
      </c>
      <c r="C6" s="2" t="s">
        <v>208</v>
      </c>
      <c r="D6" s="2"/>
      <c r="F6" s="3" t="s">
        <v>17</v>
      </c>
      <c r="G6" s="48">
        <v>0.06</v>
      </c>
    </row>
    <row r="7" spans="1:7" ht="14.25" customHeight="1">
      <c r="A7" s="2">
        <v>5</v>
      </c>
      <c r="B7" s="3" t="s">
        <v>18</v>
      </c>
      <c r="C7" s="2"/>
      <c r="D7" s="2" t="s">
        <v>19</v>
      </c>
      <c r="F7" s="3" t="s">
        <v>209</v>
      </c>
      <c r="G7" s="49">
        <v>3</v>
      </c>
    </row>
    <row r="8" spans="1:7" ht="14.25" customHeight="1">
      <c r="F8" s="1"/>
      <c r="G8" s="50"/>
    </row>
    <row r="9" spans="1:7" ht="14.25" customHeight="1">
      <c r="A9" s="115" t="s">
        <v>21</v>
      </c>
      <c r="B9" s="116"/>
      <c r="C9" s="116"/>
      <c r="D9" s="117"/>
      <c r="F9" s="1"/>
      <c r="G9" s="50"/>
    </row>
    <row r="10" spans="1:7" ht="14.25" customHeight="1">
      <c r="A10" s="2" t="s">
        <v>24</v>
      </c>
      <c r="B10" s="3" t="s">
        <v>25</v>
      </c>
      <c r="C10" s="2" t="s">
        <v>4</v>
      </c>
      <c r="D10" s="2" t="s">
        <v>5</v>
      </c>
      <c r="F10" s="1"/>
      <c r="G10" s="50"/>
    </row>
    <row r="11" spans="1:7" ht="14.25" customHeight="1">
      <c r="A11" s="2" t="s">
        <v>27</v>
      </c>
      <c r="B11" s="3" t="s">
        <v>28</v>
      </c>
      <c r="C11" s="2"/>
      <c r="D11" s="9">
        <f>D5</f>
        <v>1100</v>
      </c>
      <c r="F11" s="1"/>
      <c r="G11" s="50"/>
    </row>
    <row r="12" spans="1:7" ht="14.25" customHeight="1">
      <c r="A12" s="2" t="s">
        <v>30</v>
      </c>
      <c r="B12" s="3" t="s">
        <v>31</v>
      </c>
      <c r="C12" s="2"/>
      <c r="D12" s="9"/>
      <c r="F12" s="1"/>
      <c r="G12" s="50"/>
    </row>
    <row r="13" spans="1:7" ht="14.25" customHeight="1">
      <c r="A13" s="2" t="s">
        <v>33</v>
      </c>
      <c r="B13" s="3" t="s">
        <v>34</v>
      </c>
      <c r="C13" s="2"/>
      <c r="D13" s="9"/>
      <c r="F13" s="1"/>
      <c r="G13" s="50"/>
    </row>
    <row r="14" spans="1:7" ht="14.25" customHeight="1">
      <c r="A14" s="2" t="s">
        <v>35</v>
      </c>
      <c r="B14" s="3" t="s">
        <v>36</v>
      </c>
      <c r="C14" s="2"/>
      <c r="D14" s="9"/>
      <c r="F14" s="1"/>
      <c r="G14" s="50"/>
    </row>
    <row r="15" spans="1:7" ht="14.25" customHeight="1">
      <c r="A15" s="2" t="s">
        <v>38</v>
      </c>
      <c r="B15" s="3" t="s">
        <v>39</v>
      </c>
      <c r="C15" s="2"/>
      <c r="D15" s="9"/>
      <c r="F15" s="1"/>
      <c r="G15" s="50"/>
    </row>
    <row r="16" spans="1:7" ht="14.25" customHeight="1">
      <c r="A16" s="2" t="s">
        <v>40</v>
      </c>
      <c r="B16" s="3" t="s">
        <v>210</v>
      </c>
      <c r="C16" s="6"/>
      <c r="D16" s="9"/>
      <c r="F16" s="1"/>
      <c r="G16" s="50"/>
    </row>
    <row r="17" spans="1:7" ht="14.25" customHeight="1">
      <c r="A17" s="2" t="s">
        <v>43</v>
      </c>
      <c r="B17" s="3"/>
      <c r="C17" s="2"/>
      <c r="D17" s="9">
        <f>TRUNC(SUM(D11:D16),2)</f>
        <v>1100</v>
      </c>
      <c r="F17" s="1"/>
      <c r="G17" s="50"/>
    </row>
    <row r="18" spans="1:7" ht="14.25" customHeight="1">
      <c r="F18" s="1"/>
      <c r="G18" s="50"/>
    </row>
    <row r="19" spans="1:7" ht="14.25" customHeight="1">
      <c r="A19" s="118" t="s">
        <v>46</v>
      </c>
      <c r="B19" s="119"/>
      <c r="C19" s="119"/>
      <c r="D19" s="120"/>
      <c r="F19" s="1"/>
      <c r="G19" s="50"/>
    </row>
    <row r="20" spans="1:7" ht="14.25" customHeight="1">
      <c r="A20" s="113" t="s">
        <v>48</v>
      </c>
      <c r="B20" s="114"/>
      <c r="C20" s="114"/>
      <c r="D20" s="114"/>
      <c r="F20" s="1"/>
      <c r="G20" s="50"/>
    </row>
    <row r="21" spans="1:7" ht="14.25" customHeight="1">
      <c r="A21" s="2" t="s">
        <v>50</v>
      </c>
      <c r="B21" s="3" t="s">
        <v>51</v>
      </c>
      <c r="C21" s="2" t="s">
        <v>4</v>
      </c>
      <c r="D21" s="2" t="s">
        <v>5</v>
      </c>
      <c r="F21" s="1"/>
      <c r="G21" s="50"/>
    </row>
    <row r="22" spans="1:7" ht="14.25" customHeight="1">
      <c r="A22" s="2" t="s">
        <v>27</v>
      </c>
      <c r="B22" s="3" t="s">
        <v>52</v>
      </c>
      <c r="C22" s="51">
        <f>(1/12)</f>
        <v>8.3333333333333329E-2</v>
      </c>
      <c r="D22" s="9">
        <f t="shared" ref="D22:D23" si="0">TRUNC($D$17*C22,2)</f>
        <v>91.66</v>
      </c>
      <c r="F22" s="1"/>
      <c r="G22" s="50"/>
    </row>
    <row r="23" spans="1:7" ht="14.25" customHeight="1">
      <c r="A23" s="2" t="s">
        <v>30</v>
      </c>
      <c r="B23" s="3" t="s">
        <v>54</v>
      </c>
      <c r="C23" s="51">
        <f>(((1+1/3)/12))</f>
        <v>0.1111111111111111</v>
      </c>
      <c r="D23" s="9">
        <f t="shared" si="0"/>
        <v>122.22</v>
      </c>
      <c r="E23" s="139"/>
      <c r="F23" s="1"/>
      <c r="G23" s="50"/>
    </row>
    <row r="24" spans="1:7" ht="14.25" customHeight="1">
      <c r="A24" s="2" t="s">
        <v>43</v>
      </c>
      <c r="B24" s="3"/>
      <c r="C24" s="3"/>
      <c r="D24" s="9">
        <f>TRUNC(SUM(D22:D23),2)</f>
        <v>213.88</v>
      </c>
      <c r="F24" s="1"/>
      <c r="G24" s="50"/>
    </row>
    <row r="25" spans="1:7" ht="14.25" customHeight="1">
      <c r="A25" s="14"/>
      <c r="D25" s="15"/>
      <c r="F25" s="1"/>
      <c r="G25" s="50"/>
    </row>
    <row r="26" spans="1:7" ht="14.25" customHeight="1">
      <c r="A26" s="129" t="s">
        <v>211</v>
      </c>
      <c r="B26" s="130"/>
      <c r="C26" s="52" t="s">
        <v>212</v>
      </c>
      <c r="D26" s="53">
        <f>D17</f>
        <v>1100</v>
      </c>
      <c r="F26" s="1"/>
      <c r="G26" s="1"/>
    </row>
    <row r="27" spans="1:7" ht="14.25" customHeight="1">
      <c r="A27" s="131"/>
      <c r="B27" s="132"/>
      <c r="C27" s="54" t="s">
        <v>213</v>
      </c>
      <c r="D27" s="53">
        <f>D24</f>
        <v>213.88</v>
      </c>
      <c r="F27" s="1"/>
      <c r="G27" s="1"/>
    </row>
    <row r="28" spans="1:7" ht="14.25" customHeight="1">
      <c r="A28" s="133"/>
      <c r="B28" s="134"/>
      <c r="C28" s="52" t="s">
        <v>199</v>
      </c>
      <c r="D28" s="55">
        <f>TRUNC(SUM(D26:D27),2)</f>
        <v>1313.88</v>
      </c>
      <c r="F28" s="1"/>
      <c r="G28" s="1"/>
    </row>
    <row r="29" spans="1:7" ht="14.25" customHeight="1">
      <c r="A29" s="14"/>
      <c r="B29" s="14"/>
      <c r="C29" s="22"/>
      <c r="F29" s="1"/>
      <c r="G29" s="1"/>
    </row>
    <row r="30" spans="1:7" ht="14.25" customHeight="1">
      <c r="A30" s="113" t="s">
        <v>65</v>
      </c>
      <c r="B30" s="114"/>
      <c r="C30" s="114"/>
      <c r="D30" s="114"/>
    </row>
    <row r="31" spans="1:7" ht="14.25" customHeight="1">
      <c r="A31" s="2" t="s">
        <v>66</v>
      </c>
      <c r="B31" s="3" t="s">
        <v>67</v>
      </c>
      <c r="C31" s="2" t="s">
        <v>23</v>
      </c>
      <c r="D31" s="2" t="s">
        <v>68</v>
      </c>
    </row>
    <row r="32" spans="1:7" ht="14.25" customHeight="1">
      <c r="A32" s="2" t="s">
        <v>27</v>
      </c>
      <c r="B32" s="3" t="s">
        <v>69</v>
      </c>
      <c r="C32" s="23">
        <v>0.2</v>
      </c>
      <c r="D32" s="9">
        <f t="shared" ref="D32:D39" si="1">TRUNC(($D$28*C32),2)</f>
        <v>262.77</v>
      </c>
    </row>
    <row r="33" spans="1:6" ht="14.25" customHeight="1">
      <c r="A33" s="2" t="s">
        <v>30</v>
      </c>
      <c r="B33" s="3" t="s">
        <v>70</v>
      </c>
      <c r="C33" s="23">
        <v>2.5000000000000001E-2</v>
      </c>
      <c r="D33" s="9">
        <f t="shared" si="1"/>
        <v>32.840000000000003</v>
      </c>
    </row>
    <row r="34" spans="1:6" ht="14.25" customHeight="1">
      <c r="A34" s="2" t="s">
        <v>33</v>
      </c>
      <c r="B34" s="3" t="s">
        <v>71</v>
      </c>
      <c r="C34" s="56">
        <v>0.06</v>
      </c>
      <c r="D34" s="57">
        <f t="shared" si="1"/>
        <v>78.83</v>
      </c>
      <c r="E34" s="140"/>
    </row>
    <row r="35" spans="1:6" ht="14.25" customHeight="1">
      <c r="A35" s="2" t="s">
        <v>35</v>
      </c>
      <c r="B35" s="3" t="s">
        <v>72</v>
      </c>
      <c r="C35" s="23">
        <v>1.4999999999999999E-2</v>
      </c>
      <c r="D35" s="9">
        <f t="shared" si="1"/>
        <v>19.7</v>
      </c>
    </row>
    <row r="36" spans="1:6" ht="14.25" customHeight="1">
      <c r="A36" s="2" t="s">
        <v>38</v>
      </c>
      <c r="B36" s="3" t="s">
        <v>73</v>
      </c>
      <c r="C36" s="23">
        <v>0.01</v>
      </c>
      <c r="D36" s="9">
        <f t="shared" si="1"/>
        <v>13.13</v>
      </c>
    </row>
    <row r="37" spans="1:6" ht="14.25" customHeight="1">
      <c r="A37" s="2" t="s">
        <v>40</v>
      </c>
      <c r="B37" s="3" t="s">
        <v>74</v>
      </c>
      <c r="C37" s="23">
        <v>6.0000000000000001E-3</v>
      </c>
      <c r="D37" s="9">
        <f t="shared" si="1"/>
        <v>7.88</v>
      </c>
    </row>
    <row r="38" spans="1:6" ht="14.25" customHeight="1">
      <c r="A38" s="2" t="s">
        <v>75</v>
      </c>
      <c r="B38" s="3" t="s">
        <v>76</v>
      </c>
      <c r="C38" s="23">
        <v>2E-3</v>
      </c>
      <c r="D38" s="9">
        <f t="shared" si="1"/>
        <v>2.62</v>
      </c>
    </row>
    <row r="39" spans="1:6" ht="14.25" customHeight="1">
      <c r="A39" s="2" t="s">
        <v>77</v>
      </c>
      <c r="B39" s="3" t="s">
        <v>78</v>
      </c>
      <c r="C39" s="23">
        <v>0.08</v>
      </c>
      <c r="D39" s="9">
        <f t="shared" si="1"/>
        <v>105.11</v>
      </c>
    </row>
    <row r="40" spans="1:6" ht="14.25" customHeight="1">
      <c r="A40" s="2" t="s">
        <v>43</v>
      </c>
      <c r="B40" s="3"/>
      <c r="C40" s="23">
        <f>SUBTOTAL(109,Jardineiro!$C$32:$C$39)</f>
        <v>0.39800000000000008</v>
      </c>
      <c r="D40" s="9">
        <f>TRUNC(SUM(D32:D39),2)</f>
        <v>522.88</v>
      </c>
    </row>
    <row r="41" spans="1:6" ht="14.25" customHeight="1">
      <c r="A41" s="14"/>
      <c r="C41" s="24"/>
      <c r="D41" s="15"/>
    </row>
    <row r="42" spans="1:6" ht="14.25" customHeight="1">
      <c r="A42" s="113" t="s">
        <v>83</v>
      </c>
      <c r="B42" s="114"/>
      <c r="C42" s="114"/>
      <c r="D42" s="114"/>
    </row>
    <row r="43" spans="1:6" ht="14.25" customHeight="1">
      <c r="A43" s="2" t="s">
        <v>84</v>
      </c>
      <c r="B43" s="3" t="s">
        <v>85</v>
      </c>
      <c r="C43" s="2" t="s">
        <v>4</v>
      </c>
      <c r="D43" s="2" t="s">
        <v>5</v>
      </c>
    </row>
    <row r="44" spans="1:6" ht="14.25" customHeight="1">
      <c r="A44" s="2" t="s">
        <v>27</v>
      </c>
      <c r="B44" s="3" t="s">
        <v>86</v>
      </c>
      <c r="C44" s="3"/>
      <c r="D44" s="57">
        <f>TRUNC(((G5*G3)*2)-((D5/100)*6),2)</f>
        <v>116.6</v>
      </c>
    </row>
    <row r="45" spans="1:6" ht="14.25" customHeight="1">
      <c r="A45" s="2" t="s">
        <v>30</v>
      </c>
      <c r="B45" s="3" t="s">
        <v>87</v>
      </c>
      <c r="C45" s="3"/>
      <c r="D45" s="57">
        <f>TRUNC((((G5*G4))-(((G5*G4))*0.2)),2)</f>
        <v>281.60000000000002</v>
      </c>
    </row>
    <row r="46" spans="1:6" ht="14.25" customHeight="1">
      <c r="A46" s="2" t="s">
        <v>33</v>
      </c>
      <c r="B46" s="3" t="s">
        <v>88</v>
      </c>
      <c r="C46" s="6" t="s">
        <v>208</v>
      </c>
      <c r="D46" s="57">
        <v>5</v>
      </c>
      <c r="E46" s="140"/>
      <c r="F46" s="36"/>
    </row>
    <row r="47" spans="1:6" ht="14.25" customHeight="1">
      <c r="A47" s="2" t="s">
        <v>35</v>
      </c>
      <c r="B47" s="3" t="s">
        <v>89</v>
      </c>
      <c r="C47" s="6" t="s">
        <v>208</v>
      </c>
      <c r="D47" s="57">
        <v>4</v>
      </c>
    </row>
    <row r="48" spans="1:6" ht="14.25" customHeight="1">
      <c r="A48" s="2" t="s">
        <v>38</v>
      </c>
      <c r="B48" s="3" t="s">
        <v>91</v>
      </c>
      <c r="C48" s="6" t="s">
        <v>208</v>
      </c>
      <c r="D48" s="57">
        <v>15</v>
      </c>
    </row>
    <row r="49" spans="1:5" ht="14.25" customHeight="1">
      <c r="A49" s="2" t="s">
        <v>43</v>
      </c>
      <c r="B49" s="3"/>
      <c r="C49" s="3"/>
      <c r="D49" s="9">
        <f>TRUNC(SUM(D44:D48),2)</f>
        <v>422.2</v>
      </c>
    </row>
    <row r="50" spans="1:5" ht="14.25" customHeight="1">
      <c r="A50" s="14"/>
      <c r="D50" s="15"/>
    </row>
    <row r="51" spans="1:5" ht="14.25" customHeight="1">
      <c r="A51" s="113" t="s">
        <v>97</v>
      </c>
      <c r="B51" s="114"/>
      <c r="C51" s="114"/>
      <c r="D51" s="114"/>
    </row>
    <row r="52" spans="1:5" ht="14.25" customHeight="1">
      <c r="A52" s="2" t="s">
        <v>98</v>
      </c>
      <c r="B52" s="3" t="s">
        <v>99</v>
      </c>
      <c r="C52" s="2" t="s">
        <v>4</v>
      </c>
      <c r="D52" s="2" t="s">
        <v>5</v>
      </c>
    </row>
    <row r="53" spans="1:5" ht="14.25" customHeight="1">
      <c r="A53" s="2" t="s">
        <v>50</v>
      </c>
      <c r="B53" s="3" t="s">
        <v>51</v>
      </c>
      <c r="C53" s="2"/>
      <c r="D53" s="9">
        <f>D24</f>
        <v>213.88</v>
      </c>
    </row>
    <row r="54" spans="1:5" ht="14.25" customHeight="1">
      <c r="A54" s="2" t="s">
        <v>66</v>
      </c>
      <c r="B54" s="3" t="s">
        <v>67</v>
      </c>
      <c r="C54" s="2"/>
      <c r="D54" s="9">
        <f>D40</f>
        <v>522.88</v>
      </c>
    </row>
    <row r="55" spans="1:5" ht="14.25" customHeight="1">
      <c r="A55" s="2" t="s">
        <v>84</v>
      </c>
      <c r="B55" s="3" t="s">
        <v>85</v>
      </c>
      <c r="C55" s="2"/>
      <c r="D55" s="9">
        <f>D49</f>
        <v>422.2</v>
      </c>
    </row>
    <row r="56" spans="1:5" ht="14.25" customHeight="1">
      <c r="A56" s="2" t="s">
        <v>43</v>
      </c>
      <c r="B56" s="3"/>
      <c r="C56" s="2"/>
      <c r="D56" s="9">
        <f>TRUNC(SUM(D53:D55),2)</f>
        <v>1158.96</v>
      </c>
    </row>
    <row r="57" spans="1:5" ht="14.25" customHeight="1"/>
    <row r="58" spans="1:5" ht="14.25" customHeight="1">
      <c r="A58" s="115" t="s">
        <v>100</v>
      </c>
      <c r="B58" s="116"/>
      <c r="C58" s="116"/>
      <c r="D58" s="117"/>
    </row>
    <row r="59" spans="1:5" ht="14.25" customHeight="1">
      <c r="A59" s="2" t="s">
        <v>101</v>
      </c>
      <c r="B59" s="3" t="s">
        <v>102</v>
      </c>
      <c r="C59" s="2" t="s">
        <v>4</v>
      </c>
      <c r="D59" s="2" t="s">
        <v>5</v>
      </c>
    </row>
    <row r="60" spans="1:5" ht="14.25" customHeight="1">
      <c r="A60" s="2" t="s">
        <v>27</v>
      </c>
      <c r="B60" s="59" t="s">
        <v>103</v>
      </c>
      <c r="C60" s="60">
        <f>((1/12)*5%)</f>
        <v>4.1666666666666666E-3</v>
      </c>
      <c r="D60" s="61">
        <f>TRUNC(($D$17*C60),2)</f>
        <v>4.58</v>
      </c>
      <c r="E60" s="140"/>
    </row>
    <row r="61" spans="1:5" ht="14.25" customHeight="1">
      <c r="A61" s="2" t="s">
        <v>30</v>
      </c>
      <c r="B61" s="59" t="s">
        <v>104</v>
      </c>
      <c r="C61" s="51">
        <v>0.08</v>
      </c>
      <c r="D61" s="62">
        <f>TRUNC(D60*C61,2)</f>
        <v>0.36</v>
      </c>
    </row>
    <row r="62" spans="1:5" ht="14.25" customHeight="1">
      <c r="A62" s="2" t="s">
        <v>33</v>
      </c>
      <c r="B62" s="59" t="s">
        <v>105</v>
      </c>
      <c r="C62" s="60">
        <f>(0.08*0.4*0.05)</f>
        <v>1.6000000000000001E-3</v>
      </c>
      <c r="D62" s="61">
        <f t="shared" ref="D62:D63" si="2">TRUNC(($D$17*C62),2)</f>
        <v>1.76</v>
      </c>
      <c r="E62" s="140"/>
    </row>
    <row r="63" spans="1:5" ht="14.25" customHeight="1">
      <c r="A63" s="2" t="s">
        <v>35</v>
      </c>
      <c r="B63" s="59" t="s">
        <v>106</v>
      </c>
      <c r="C63" s="51">
        <f>(((7/30)/12)*0.95)</f>
        <v>1.8472222222222223E-2</v>
      </c>
      <c r="D63" s="62">
        <f t="shared" si="2"/>
        <v>20.309999999999999</v>
      </c>
    </row>
    <row r="64" spans="1:5" ht="14.25" customHeight="1">
      <c r="A64" s="2" t="s">
        <v>38</v>
      </c>
      <c r="B64" s="59" t="s">
        <v>214</v>
      </c>
      <c r="C64" s="51">
        <f>C40</f>
        <v>0.39800000000000008</v>
      </c>
      <c r="D64" s="62">
        <f>TRUNC(D63*C64,2)</f>
        <v>8.08</v>
      </c>
    </row>
    <row r="65" spans="1:5" ht="14.25" customHeight="1">
      <c r="A65" s="2" t="s">
        <v>40</v>
      </c>
      <c r="B65" s="59" t="s">
        <v>107</v>
      </c>
      <c r="C65" s="60">
        <f>(0.08*0.4*0.95)</f>
        <v>3.04E-2</v>
      </c>
      <c r="D65" s="61">
        <f>TRUNC(($D$17*C65),2)</f>
        <v>33.44</v>
      </c>
      <c r="E65" s="140"/>
    </row>
    <row r="66" spans="1:5" ht="14.25" customHeight="1">
      <c r="A66" s="2" t="s">
        <v>43</v>
      </c>
      <c r="B66" s="3"/>
      <c r="C66" s="3"/>
      <c r="D66" s="9">
        <f>TRUNC(SUM(D60:D65),2)</f>
        <v>68.53</v>
      </c>
    </row>
    <row r="67" spans="1:5" ht="14.25" customHeight="1">
      <c r="A67" s="14"/>
      <c r="D67" s="15"/>
    </row>
    <row r="68" spans="1:5" ht="14.25" customHeight="1">
      <c r="A68" s="129" t="s">
        <v>215</v>
      </c>
      <c r="B68" s="130"/>
      <c r="C68" s="52" t="s">
        <v>212</v>
      </c>
      <c r="D68" s="53">
        <f>D17</f>
        <v>1100</v>
      </c>
    </row>
    <row r="69" spans="1:5" ht="14.25" customHeight="1">
      <c r="A69" s="131"/>
      <c r="B69" s="132"/>
      <c r="C69" s="54" t="s">
        <v>216</v>
      </c>
      <c r="D69" s="53">
        <f>D56</f>
        <v>1158.96</v>
      </c>
    </row>
    <row r="70" spans="1:5" ht="14.25" customHeight="1">
      <c r="A70" s="131"/>
      <c r="B70" s="132"/>
      <c r="C70" s="52" t="s">
        <v>217</v>
      </c>
      <c r="D70" s="53">
        <f>D66</f>
        <v>68.53</v>
      </c>
    </row>
    <row r="71" spans="1:5" ht="14.25" customHeight="1">
      <c r="A71" s="133"/>
      <c r="B71" s="134"/>
      <c r="C71" s="54" t="s">
        <v>199</v>
      </c>
      <c r="D71" s="55">
        <f>TRUNC((SUM(D68:D70)),2)</f>
        <v>2327.4899999999998</v>
      </c>
    </row>
    <row r="72" spans="1:5" ht="14.25" customHeight="1">
      <c r="A72" s="14"/>
      <c r="D72" s="15"/>
    </row>
    <row r="73" spans="1:5" ht="14.25" customHeight="1">
      <c r="A73" s="122" t="s">
        <v>119</v>
      </c>
      <c r="B73" s="119"/>
      <c r="C73" s="119"/>
      <c r="D73" s="120"/>
    </row>
    <row r="74" spans="1:5" ht="14.25" customHeight="1">
      <c r="A74" s="113" t="s">
        <v>120</v>
      </c>
      <c r="B74" s="114"/>
      <c r="C74" s="114"/>
      <c r="D74" s="114"/>
    </row>
    <row r="75" spans="1:5" ht="14.25" customHeight="1">
      <c r="A75" s="2" t="s">
        <v>121</v>
      </c>
      <c r="B75" s="3" t="s">
        <v>122</v>
      </c>
      <c r="C75" s="2" t="s">
        <v>123</v>
      </c>
      <c r="D75" s="2" t="s">
        <v>5</v>
      </c>
    </row>
    <row r="76" spans="1:5" ht="14.25" customHeight="1">
      <c r="A76" s="2" t="s">
        <v>27</v>
      </c>
      <c r="B76" s="59" t="s">
        <v>124</v>
      </c>
      <c r="C76" s="60">
        <f>((1+1/3)/12)/12</f>
        <v>9.2592592592592587E-3</v>
      </c>
      <c r="D76" s="64">
        <f t="shared" ref="D76:D81" si="3">TRUNC(($D$71*C76),2)</f>
        <v>21.55</v>
      </c>
      <c r="E76" s="139"/>
    </row>
    <row r="77" spans="1:5" ht="14.25" customHeight="1">
      <c r="A77" s="2" t="s">
        <v>30</v>
      </c>
      <c r="B77" s="59" t="s">
        <v>125</v>
      </c>
      <c r="C77" s="60">
        <f>((2/30)/12)</f>
        <v>5.5555555555555558E-3</v>
      </c>
      <c r="D77" s="64">
        <f t="shared" si="3"/>
        <v>12.93</v>
      </c>
      <c r="E77" s="139"/>
    </row>
    <row r="78" spans="1:5" ht="14.25" customHeight="1">
      <c r="A78" s="2" t="s">
        <v>33</v>
      </c>
      <c r="B78" s="59" t="s">
        <v>126</v>
      </c>
      <c r="C78" s="60">
        <f>(((5/30)/12)*0.02)</f>
        <v>2.7777777777777778E-4</v>
      </c>
      <c r="D78" s="64">
        <f t="shared" si="3"/>
        <v>0.64</v>
      </c>
      <c r="E78" s="139"/>
    </row>
    <row r="79" spans="1:5" ht="14.25" customHeight="1">
      <c r="A79" s="2" t="s">
        <v>35</v>
      </c>
      <c r="B79" s="59" t="s">
        <v>127</v>
      </c>
      <c r="C79" s="60">
        <f>((15/30)/12)*0.08</f>
        <v>3.3333333333333331E-3</v>
      </c>
      <c r="D79" s="64">
        <f t="shared" si="3"/>
        <v>7.75</v>
      </c>
      <c r="E79" s="139"/>
    </row>
    <row r="80" spans="1:5" ht="14.25" customHeight="1">
      <c r="A80" s="2" t="s">
        <v>38</v>
      </c>
      <c r="B80" s="59" t="s">
        <v>128</v>
      </c>
      <c r="C80" s="60">
        <f>((1+1/3)/12)*0.03*((4/12))</f>
        <v>1.1111111111111109E-3</v>
      </c>
      <c r="D80" s="64">
        <f t="shared" si="3"/>
        <v>2.58</v>
      </c>
      <c r="E80" s="139"/>
    </row>
    <row r="81" spans="1:5" ht="14.25" customHeight="1">
      <c r="A81" s="2" t="s">
        <v>40</v>
      </c>
      <c r="B81" s="59" t="s">
        <v>218</v>
      </c>
      <c r="C81" s="60">
        <v>0</v>
      </c>
      <c r="D81" s="64">
        <f t="shared" si="3"/>
        <v>0</v>
      </c>
      <c r="E81" s="139"/>
    </row>
    <row r="82" spans="1:5" ht="14.25" customHeight="1">
      <c r="A82" s="2" t="s">
        <v>43</v>
      </c>
      <c r="B82" s="3"/>
      <c r="C82" s="23">
        <f>SUBTOTAL(109,Jardineiro!$C$76:$C$81)</f>
        <v>1.9537037037037037E-2</v>
      </c>
      <c r="D82" s="9">
        <f>TRUNC(SUM(D76:D81),2)</f>
        <v>45.45</v>
      </c>
    </row>
    <row r="83" spans="1:5" ht="14.25" customHeight="1">
      <c r="A83" s="14"/>
      <c r="C83" s="14"/>
      <c r="D83" s="15"/>
    </row>
    <row r="84" spans="1:5" ht="14.25" customHeight="1">
      <c r="A84" s="113" t="s">
        <v>139</v>
      </c>
      <c r="B84" s="114"/>
      <c r="C84" s="114"/>
      <c r="D84" s="114"/>
    </row>
    <row r="85" spans="1:5" ht="14.25" customHeight="1">
      <c r="A85" s="2" t="s">
        <v>140</v>
      </c>
      <c r="B85" s="3" t="s">
        <v>141</v>
      </c>
      <c r="C85" s="2" t="s">
        <v>4</v>
      </c>
      <c r="D85" s="2" t="s">
        <v>5</v>
      </c>
    </row>
    <row r="86" spans="1:5" ht="14.25" customHeight="1">
      <c r="A86" s="2" t="s">
        <v>27</v>
      </c>
      <c r="B86" s="3" t="s">
        <v>142</v>
      </c>
      <c r="C86" s="2"/>
      <c r="D86" s="9"/>
    </row>
    <row r="87" spans="1:5" ht="14.25" customHeight="1">
      <c r="A87" s="2" t="s">
        <v>43</v>
      </c>
      <c r="B87" s="3"/>
      <c r="C87" s="2"/>
      <c r="D87" s="9">
        <f>SUBTOTAL(109,Jardineiro!$D$86)</f>
        <v>0</v>
      </c>
    </row>
    <row r="88" spans="1:5" ht="14.25" customHeight="1"/>
    <row r="89" spans="1:5" ht="14.25" customHeight="1">
      <c r="A89" s="113" t="s">
        <v>143</v>
      </c>
      <c r="B89" s="114"/>
      <c r="C89" s="114"/>
      <c r="D89" s="114"/>
    </row>
    <row r="90" spans="1:5" ht="14.25" customHeight="1">
      <c r="A90" s="2" t="s">
        <v>144</v>
      </c>
      <c r="B90" s="3" t="s">
        <v>145</v>
      </c>
      <c r="C90" s="2" t="s">
        <v>4</v>
      </c>
      <c r="D90" s="2" t="s">
        <v>5</v>
      </c>
    </row>
    <row r="91" spans="1:5" ht="14.25" customHeight="1">
      <c r="A91" s="2" t="s">
        <v>121</v>
      </c>
      <c r="B91" s="3" t="s">
        <v>122</v>
      </c>
      <c r="C91" s="3"/>
      <c r="D91" s="9">
        <f>D82</f>
        <v>45.45</v>
      </c>
    </row>
    <row r="92" spans="1:5" ht="14.25" customHeight="1">
      <c r="A92" s="2" t="s">
        <v>140</v>
      </c>
      <c r="B92" s="3" t="s">
        <v>146</v>
      </c>
      <c r="C92" s="3"/>
      <c r="D92" s="9">
        <f>Jardineiro!$D$87</f>
        <v>0</v>
      </c>
    </row>
    <row r="93" spans="1:5" ht="14.25" customHeight="1">
      <c r="A93" s="2" t="s">
        <v>43</v>
      </c>
      <c r="B93" s="3"/>
      <c r="C93" s="3"/>
      <c r="D93" s="9">
        <f>TRUNC(SUM(D91:D92),2)</f>
        <v>45.45</v>
      </c>
    </row>
    <row r="94" spans="1:5" ht="14.25" customHeight="1"/>
    <row r="95" spans="1:5" ht="14.25" customHeight="1">
      <c r="A95" s="115" t="s">
        <v>147</v>
      </c>
      <c r="B95" s="116"/>
      <c r="C95" s="116"/>
      <c r="D95" s="117"/>
    </row>
    <row r="96" spans="1:5" ht="14.25" customHeight="1">
      <c r="A96" s="2" t="s">
        <v>148</v>
      </c>
      <c r="B96" s="3" t="s">
        <v>149</v>
      </c>
      <c r="C96" s="2" t="s">
        <v>4</v>
      </c>
      <c r="D96" s="2" t="s">
        <v>5</v>
      </c>
    </row>
    <row r="97" spans="1:7" ht="14.25" customHeight="1">
      <c r="A97" s="2" t="s">
        <v>27</v>
      </c>
      <c r="B97" s="3" t="s">
        <v>219</v>
      </c>
      <c r="C97" s="3"/>
      <c r="D97" s="66">
        <v>16.88</v>
      </c>
      <c r="E97" s="140"/>
    </row>
    <row r="98" spans="1:7" ht="14.25" customHeight="1">
      <c r="A98" s="2" t="s">
        <v>30</v>
      </c>
      <c r="B98" s="3" t="s">
        <v>151</v>
      </c>
      <c r="C98" s="3"/>
      <c r="D98" s="66">
        <v>0</v>
      </c>
    </row>
    <row r="99" spans="1:7" ht="14.25" customHeight="1">
      <c r="A99" s="2" t="s">
        <v>33</v>
      </c>
      <c r="B99" s="3" t="s">
        <v>152</v>
      </c>
      <c r="C99" s="3"/>
      <c r="D99" s="66">
        <v>0</v>
      </c>
    </row>
    <row r="100" spans="1:7" ht="14.25" customHeight="1">
      <c r="A100" s="2" t="s">
        <v>35</v>
      </c>
      <c r="B100" s="3" t="s">
        <v>220</v>
      </c>
      <c r="C100" s="3"/>
      <c r="D100" s="66">
        <v>0</v>
      </c>
    </row>
    <row r="101" spans="1:7" ht="14.25" customHeight="1">
      <c r="A101" s="2" t="s">
        <v>43</v>
      </c>
      <c r="B101" s="3"/>
      <c r="C101" s="3"/>
      <c r="D101" s="9">
        <f>TRUNC(SUM(D97:D100),2)</f>
        <v>16.88</v>
      </c>
    </row>
    <row r="102" spans="1:7" ht="14.25" customHeight="1">
      <c r="A102" s="14"/>
      <c r="D102" s="15"/>
    </row>
    <row r="103" spans="1:7" ht="14.25" customHeight="1">
      <c r="A103" s="129" t="s">
        <v>221</v>
      </c>
      <c r="B103" s="130"/>
      <c r="C103" s="52" t="s">
        <v>212</v>
      </c>
      <c r="D103" s="53">
        <f>D17</f>
        <v>1100</v>
      </c>
    </row>
    <row r="104" spans="1:7" ht="14.25" customHeight="1">
      <c r="A104" s="131"/>
      <c r="B104" s="132"/>
      <c r="C104" s="54" t="s">
        <v>216</v>
      </c>
      <c r="D104" s="53">
        <f>D56</f>
        <v>1158.96</v>
      </c>
    </row>
    <row r="105" spans="1:7" ht="14.25" customHeight="1">
      <c r="A105" s="131"/>
      <c r="B105" s="132"/>
      <c r="C105" s="52" t="s">
        <v>217</v>
      </c>
      <c r="D105" s="53">
        <f>D66</f>
        <v>68.53</v>
      </c>
    </row>
    <row r="106" spans="1:7" ht="14.25" customHeight="1">
      <c r="A106" s="131"/>
      <c r="B106" s="132"/>
      <c r="C106" s="54" t="s">
        <v>222</v>
      </c>
      <c r="D106" s="53">
        <f>D93</f>
        <v>45.45</v>
      </c>
    </row>
    <row r="107" spans="1:7" ht="14.25" customHeight="1">
      <c r="A107" s="131"/>
      <c r="B107" s="132"/>
      <c r="C107" s="52" t="s">
        <v>223</v>
      </c>
      <c r="D107" s="53">
        <f>D101</f>
        <v>16.88</v>
      </c>
    </row>
    <row r="108" spans="1:7" ht="14.25" customHeight="1">
      <c r="A108" s="133"/>
      <c r="B108" s="134"/>
      <c r="C108" s="54" t="s">
        <v>199</v>
      </c>
      <c r="D108" s="55">
        <f>TRUNC((SUM(D103:D107)),2)</f>
        <v>2389.8200000000002</v>
      </c>
    </row>
    <row r="109" spans="1:7" ht="14.25" customHeight="1">
      <c r="A109" s="14"/>
      <c r="D109" s="15"/>
    </row>
    <row r="110" spans="1:7" ht="14.25" customHeight="1">
      <c r="A110" s="115" t="s">
        <v>159</v>
      </c>
      <c r="B110" s="116"/>
      <c r="C110" s="116"/>
      <c r="D110" s="117"/>
      <c r="F110" s="135" t="s">
        <v>224</v>
      </c>
      <c r="G110" s="136"/>
    </row>
    <row r="111" spans="1:7" ht="14.25" customHeight="1">
      <c r="A111" s="2" t="s">
        <v>160</v>
      </c>
      <c r="B111" s="3" t="s">
        <v>161</v>
      </c>
      <c r="C111" s="2" t="s">
        <v>23</v>
      </c>
      <c r="D111" s="2" t="s">
        <v>5</v>
      </c>
      <c r="F111" s="67" t="s">
        <v>225</v>
      </c>
      <c r="G111" s="68">
        <f>C114</f>
        <v>8.6499999999999994E-2</v>
      </c>
    </row>
    <row r="112" spans="1:7" ht="14.25" customHeight="1">
      <c r="A112" s="2" t="s">
        <v>27</v>
      </c>
      <c r="B112" s="3" t="s">
        <v>162</v>
      </c>
      <c r="C112" s="56">
        <v>2.2499999999999999E-2</v>
      </c>
      <c r="D112" s="57">
        <f>TRUNC(($D$108*C112),2)</f>
        <v>53.77</v>
      </c>
      <c r="E112" s="140"/>
      <c r="F112" s="69" t="s">
        <v>226</v>
      </c>
      <c r="G112" s="70">
        <f>TRUNC(SUM(D108,D112,D113),2)</f>
        <v>2457.02</v>
      </c>
    </row>
    <row r="113" spans="1:7" ht="14.25" customHeight="1">
      <c r="A113" s="2" t="s">
        <v>30</v>
      </c>
      <c r="B113" s="3" t="s">
        <v>44</v>
      </c>
      <c r="C113" s="56">
        <v>5.4999999999999997E-3</v>
      </c>
      <c r="D113" s="57">
        <f>TRUNC((D108+D112)*C113,2)</f>
        <v>13.43</v>
      </c>
      <c r="E113" s="140"/>
      <c r="F113" s="67" t="s">
        <v>227</v>
      </c>
      <c r="G113" s="71">
        <f>(100-8.65)/100</f>
        <v>0.91349999999999998</v>
      </c>
    </row>
    <row r="114" spans="1:7" ht="14.25" customHeight="1">
      <c r="A114" s="2" t="s">
        <v>33</v>
      </c>
      <c r="B114" s="3" t="s">
        <v>163</v>
      </c>
      <c r="C114" s="56">
        <f t="shared" ref="C114:D114" si="4">SUM(C115:C117)</f>
        <v>8.6499999999999994E-2</v>
      </c>
      <c r="D114" s="57">
        <f t="shared" si="4"/>
        <v>232.64999999999998</v>
      </c>
      <c r="F114" s="69" t="s">
        <v>224</v>
      </c>
      <c r="G114" s="70">
        <f>TRUNC((G112/G113),2)</f>
        <v>2689.67</v>
      </c>
    </row>
    <row r="115" spans="1:7" ht="14.25" customHeight="1">
      <c r="A115" s="2" t="s">
        <v>164</v>
      </c>
      <c r="B115" s="3" t="s">
        <v>45</v>
      </c>
      <c r="C115" s="56">
        <v>6.4999999999999997E-3</v>
      </c>
      <c r="D115" s="57">
        <f t="shared" ref="D115:D117" si="5">TRUNC(($G$114*C115),2)</f>
        <v>17.48</v>
      </c>
    </row>
    <row r="116" spans="1:7" ht="14.25" customHeight="1">
      <c r="A116" s="2" t="s">
        <v>165</v>
      </c>
      <c r="B116" s="3" t="s">
        <v>47</v>
      </c>
      <c r="C116" s="56">
        <v>0.03</v>
      </c>
      <c r="D116" s="57">
        <f t="shared" si="5"/>
        <v>80.69</v>
      </c>
    </row>
    <row r="117" spans="1:7" ht="14.25" customHeight="1">
      <c r="A117" s="2" t="s">
        <v>166</v>
      </c>
      <c r="B117" s="3" t="s">
        <v>49</v>
      </c>
      <c r="C117" s="56">
        <v>0.05</v>
      </c>
      <c r="D117" s="57">
        <f t="shared" si="5"/>
        <v>134.47999999999999</v>
      </c>
    </row>
    <row r="118" spans="1:7" ht="14.25" customHeight="1">
      <c r="A118" s="2" t="s">
        <v>43</v>
      </c>
      <c r="B118" s="3"/>
      <c r="C118" s="2"/>
      <c r="D118" s="9">
        <f>TRUNC(SUM(D112:D114),2)</f>
        <v>299.85000000000002</v>
      </c>
    </row>
    <row r="119" spans="1:7" ht="14.25" customHeight="1">
      <c r="A119" s="14"/>
      <c r="C119" s="14"/>
      <c r="D119" s="15"/>
    </row>
    <row r="120" spans="1:7" ht="14.25" customHeight="1">
      <c r="A120" s="115" t="s">
        <v>167</v>
      </c>
      <c r="B120" s="116"/>
      <c r="C120" s="116"/>
      <c r="D120" s="117"/>
    </row>
    <row r="121" spans="1:7" ht="14.25" customHeight="1">
      <c r="A121" s="2" t="s">
        <v>2</v>
      </c>
      <c r="B121" s="2" t="s">
        <v>168</v>
      </c>
      <c r="C121" s="2" t="s">
        <v>94</v>
      </c>
      <c r="D121" s="2" t="s">
        <v>5</v>
      </c>
    </row>
    <row r="122" spans="1:7" ht="14.25" customHeight="1">
      <c r="A122" s="2" t="s">
        <v>27</v>
      </c>
      <c r="B122" s="3" t="s">
        <v>21</v>
      </c>
      <c r="C122" s="3"/>
      <c r="D122" s="9">
        <f>D17</f>
        <v>1100</v>
      </c>
    </row>
    <row r="123" spans="1:7" ht="14.25" customHeight="1">
      <c r="A123" s="2" t="s">
        <v>30</v>
      </c>
      <c r="B123" s="3" t="s">
        <v>46</v>
      </c>
      <c r="C123" s="3"/>
      <c r="D123" s="9">
        <f>D56</f>
        <v>1158.96</v>
      </c>
    </row>
    <row r="124" spans="1:7" ht="14.25" customHeight="1">
      <c r="A124" s="2" t="s">
        <v>33</v>
      </c>
      <c r="B124" s="3" t="s">
        <v>100</v>
      </c>
      <c r="C124" s="3"/>
      <c r="D124" s="9">
        <f>D66</f>
        <v>68.53</v>
      </c>
    </row>
    <row r="125" spans="1:7" ht="14.25" customHeight="1">
      <c r="A125" s="2" t="s">
        <v>35</v>
      </c>
      <c r="B125" s="3" t="s">
        <v>169</v>
      </c>
      <c r="C125" s="3"/>
      <c r="D125" s="9">
        <f>D93</f>
        <v>45.45</v>
      </c>
    </row>
    <row r="126" spans="1:7" ht="14.25" customHeight="1">
      <c r="A126" s="2" t="s">
        <v>38</v>
      </c>
      <c r="B126" s="3" t="s">
        <v>147</v>
      </c>
      <c r="C126" s="3"/>
      <c r="D126" s="9">
        <f>D101</f>
        <v>16.88</v>
      </c>
    </row>
    <row r="127" spans="1:7" ht="14.25" customHeight="1">
      <c r="A127" s="3" t="s">
        <v>170</v>
      </c>
      <c r="B127" s="3"/>
      <c r="C127" s="3"/>
      <c r="D127" s="9">
        <f>TRUNC(SUM(D122:D126),2)</f>
        <v>2389.8200000000002</v>
      </c>
    </row>
    <row r="128" spans="1:7" ht="14.25" customHeight="1">
      <c r="A128" s="2" t="s">
        <v>40</v>
      </c>
      <c r="B128" s="3" t="s">
        <v>159</v>
      </c>
      <c r="C128" s="3"/>
      <c r="D128" s="9">
        <f>D118</f>
        <v>299.85000000000002</v>
      </c>
    </row>
    <row r="129" spans="1:4" ht="14.25" customHeight="1">
      <c r="A129" s="72" t="s">
        <v>171</v>
      </c>
      <c r="B129" s="27"/>
      <c r="C129" s="27"/>
      <c r="D129" s="73">
        <f>TRUNC((SUM(D122:D126)+D128),2)</f>
        <v>2689.67</v>
      </c>
    </row>
    <row r="130" spans="1:4" ht="14.25" customHeight="1"/>
    <row r="131" spans="1:4" ht="14.25" customHeight="1"/>
    <row r="132" spans="1:4" ht="14.25" customHeight="1"/>
    <row r="133" spans="1:4" ht="14.25" customHeight="1"/>
    <row r="134" spans="1:4" ht="14.25" customHeight="1"/>
    <row r="135" spans="1:4" ht="14.25" customHeight="1"/>
    <row r="136" spans="1:4" ht="14.25" customHeight="1"/>
    <row r="137" spans="1:4" ht="14.25" customHeight="1"/>
    <row r="138" spans="1:4" ht="14.25" customHeight="1"/>
    <row r="139" spans="1:4" ht="14.25" customHeight="1"/>
    <row r="140" spans="1:4" ht="14.25" customHeight="1"/>
    <row r="141" spans="1:4" ht="14.25" customHeight="1"/>
    <row r="142" spans="1:4" ht="14.25" customHeight="1"/>
    <row r="143" spans="1:4" ht="14.25" customHeight="1"/>
    <row r="144" spans="1: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">
    <mergeCell ref="A110:D110"/>
    <mergeCell ref="F110:G110"/>
    <mergeCell ref="A120:D120"/>
    <mergeCell ref="A42:D42"/>
    <mergeCell ref="A51:D51"/>
    <mergeCell ref="A58:D58"/>
    <mergeCell ref="A68:B71"/>
    <mergeCell ref="A73:D73"/>
    <mergeCell ref="A74:D74"/>
    <mergeCell ref="A84:D84"/>
    <mergeCell ref="A26:B28"/>
    <mergeCell ref="A30:D30"/>
    <mergeCell ref="A89:D89"/>
    <mergeCell ref="A95:D95"/>
    <mergeCell ref="A103:B108"/>
    <mergeCell ref="A1:D1"/>
    <mergeCell ref="F1:G1"/>
    <mergeCell ref="A9:D9"/>
    <mergeCell ref="A19:D19"/>
    <mergeCell ref="A20:D20"/>
  </mergeCells>
  <pageMargins left="0.511811024" right="0.511811024" top="0.78740157499999996" bottom="0.78740157499999996" header="0" footer="0"/>
  <pageSetup orientation="landscape"/>
  <legacyDrawing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14</vt:i4>
      </vt:variant>
    </vt:vector>
  </HeadingPairs>
  <TitlesOfParts>
    <vt:vector size="27" baseType="lpstr">
      <vt:lpstr>Encarregado</vt:lpstr>
      <vt:lpstr>Quadro Resumo</vt:lpstr>
      <vt:lpstr>Monitor de Sistemas Eletrônicos</vt:lpstr>
      <vt:lpstr>Almoxarife</vt:lpstr>
      <vt:lpstr>Recepcionista</vt:lpstr>
      <vt:lpstr>Operador de Fotocopiadora</vt:lpstr>
      <vt:lpstr>Copeiro</vt:lpstr>
      <vt:lpstr>Mont. Equip. Elet.</vt:lpstr>
      <vt:lpstr>Jardineiro</vt:lpstr>
      <vt:lpstr>Manut. Predial</vt:lpstr>
      <vt:lpstr>Eletricista</vt:lpstr>
      <vt:lpstr>THB</vt:lpstr>
      <vt:lpstr>Uniformes EPI EPC</vt:lpstr>
      <vt:lpstr>Encarregado!_1A</vt:lpstr>
      <vt:lpstr>Encarregado!_1B</vt:lpstr>
      <vt:lpstr>Encarregado!_1C</vt:lpstr>
      <vt:lpstr>Encarregado!_1D</vt:lpstr>
      <vt:lpstr>Encarregado!_1E</vt:lpstr>
      <vt:lpstr>Encarregado!_1F</vt:lpstr>
      <vt:lpstr>Encarregado!_2.1A</vt:lpstr>
      <vt:lpstr>Encarregado!_2.1B</vt:lpstr>
      <vt:lpstr>Encarregado!_2.3A</vt:lpstr>
      <vt:lpstr>Encarregado!_2.3B</vt:lpstr>
      <vt:lpstr>Encarregado!_2.3C</vt:lpstr>
      <vt:lpstr>Encarregado!_2.3D</vt:lpstr>
      <vt:lpstr>Encarregado!Salário_Normativo_da_Categoria_Profissional</vt:lpstr>
      <vt:lpstr>Encarregado!SalarioBase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Carlos</dc:creator>
  <cp:lastModifiedBy>Karol&amp;Alexandre</cp:lastModifiedBy>
  <dcterms:created xsi:type="dcterms:W3CDTF">2019-02-19T21:25:00Z</dcterms:created>
  <dcterms:modified xsi:type="dcterms:W3CDTF">2021-04-06T12:02:49Z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1046-11.2.0.9967</vt:lpwstr>
  </property>
</Properties>
</file>