
<file path=[Content_Types].xml><?xml version="1.0" encoding="utf-8"?>
<Types xmlns="http://schemas.openxmlformats.org/package/2006/content-types">
  <Override PartName="/xl/tables/table4.xml" ContentType="application/vnd.openxmlformats-officedocument.spreadsheetml.table+xml"/>
  <Override PartName="/xl/tables/table25.xml" ContentType="application/vnd.openxmlformats-officedocument.spreadsheetml.table+xml"/>
  <Override PartName="/xl/tables/table43.xml" ContentType="application/vnd.openxmlformats-officedocument.spreadsheetml.table+xml"/>
  <Override PartName="/xl/tables/table5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xl/tables/table23.xml" ContentType="application/vnd.openxmlformats-officedocument.spreadsheetml.table+xml"/>
  <Override PartName="/xl/tables/table32.xml" ContentType="application/vnd.openxmlformats-officedocument.spreadsheetml.table+xml"/>
  <Override PartName="/xl/tables/table41.xml" ContentType="application/vnd.openxmlformats-officedocument.spreadsheetml.table+xml"/>
  <Override PartName="/xl/tables/table52.xml" ContentType="application/vnd.openxmlformats-officedocument.spreadsheetml.table+xml"/>
  <Override PartName="/customXml/itemProps1.xml" ContentType="application/vnd.openxmlformats-officedocument.customXmlProperties+xml"/>
  <Override PartName="/customXml/itemProps13.xml" ContentType="application/vnd.openxmlformats-officedocument.customXmlProperties+xml"/>
  <Override PartName="/xl/tables/table12.xml" ContentType="application/vnd.openxmlformats-officedocument.spreadsheetml.table+xml"/>
  <Override PartName="/xl/tables/table21.xml" ContentType="application/vnd.openxmlformats-officedocument.spreadsheetml.table+xml"/>
  <Override PartName="/xl/tables/table30.xml" ContentType="application/vnd.openxmlformats-officedocument.spreadsheetml.table+xml"/>
  <Override PartName="/xl/tables/table50.xml" ContentType="application/vnd.openxmlformats-officedocument.spreadsheetml.table+xml"/>
  <Override PartName="/customXml/itemProps1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tables/table59.xml" ContentType="application/vnd.openxmlformats-officedocument.spreadsheetml.table+xml"/>
  <Override PartName="/customXml/itemProps8.xml" ContentType="application/vnd.openxmlformats-officedocument.customXmlProperties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19.xml" ContentType="application/vnd.openxmlformats-officedocument.spreadsheetml.table+xml"/>
  <Override PartName="/xl/tables/table39.xml" ContentType="application/vnd.openxmlformats-officedocument.spreadsheetml.table+xml"/>
  <Override PartName="/xl/tables/table48.xml" ContentType="application/vnd.openxmlformats-officedocument.spreadsheetml.table+xml"/>
  <Override PartName="/xl/tables/table57.xml" ContentType="application/vnd.openxmlformats-officedocument.spreadsheetml.table+xml"/>
  <Override PartName="/customXml/itemProps6.xml" ContentType="application/vnd.openxmlformats-officedocument.customXmlProperties+xml"/>
  <Override PartName="/xl/tables/table5.xml" ContentType="application/vnd.openxmlformats-officedocument.spreadsheetml.table+xml"/>
  <Override PartName="/xl/tables/table17.xml" ContentType="application/vnd.openxmlformats-officedocument.spreadsheetml.table+xml"/>
  <Override PartName="/xl/tables/table26.xml" ContentType="application/vnd.openxmlformats-officedocument.spreadsheetml.table+xml"/>
  <Override PartName="/xl/tables/table28.xml" ContentType="application/vnd.openxmlformats-officedocument.spreadsheetml.table+xml"/>
  <Override PartName="/xl/tables/table37.xml" ContentType="application/vnd.openxmlformats-officedocument.spreadsheetml.table+xml"/>
  <Override PartName="/xl/tables/table46.xml" ContentType="application/vnd.openxmlformats-officedocument.spreadsheetml.table+xml"/>
  <Override PartName="/xl/tables/table55.xml" ContentType="application/vnd.openxmlformats-officedocument.spreadsheetml.table+xml"/>
  <Override PartName="/customXml/itemProps4.xml" ContentType="application/vnd.openxmlformats-officedocument.customXmlProperties+xml"/>
  <Override PartName="/xl/tables/table3.xml" ContentType="application/vnd.openxmlformats-officedocument.spreadsheetml.table+xml"/>
  <Override PartName="/xl/tables/table15.xml" ContentType="application/vnd.openxmlformats-officedocument.spreadsheetml.table+xml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tables/table44.xml" ContentType="application/vnd.openxmlformats-officedocument.spreadsheetml.table+xml"/>
  <Default Extension="bin" ContentType="application/vnd.openxmlformats-officedocument.spreadsheetml.printerSettings"/>
  <Override PartName="/xl/tables/table53.xml" ContentType="application/vnd.openxmlformats-officedocument.spreadsheetml.table+xml"/>
  <Override PartName="/customXml/itemProps2.xml" ContentType="application/vnd.openxmlformats-officedocument.customXmlProperties+xml"/>
  <Override PartName="/customXml/itemProps16.xml" ContentType="application/vnd.openxmlformats-officedocument.customXmlProperties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tables/table22.xml" ContentType="application/vnd.openxmlformats-officedocument.spreadsheetml.table+xml"/>
  <Override PartName="/xl/tables/table33.xml" ContentType="application/vnd.openxmlformats-officedocument.spreadsheetml.table+xml"/>
  <Override PartName="/xl/tables/table42.xml" ContentType="application/vnd.openxmlformats-officedocument.spreadsheetml.table+xml"/>
  <Override PartName="/xl/tables/table51.xml" ContentType="application/vnd.openxmlformats-officedocument.spreadsheetml.table+xml"/>
  <Override PartName="/xl/tables/table60.xml" ContentType="application/vnd.openxmlformats-officedocument.spreadsheetml.table+xml"/>
  <Override PartName="/customXml/itemProps14.xml" ContentType="application/vnd.openxmlformats-officedocument.customXmlProperties+xml"/>
  <Override PartName="/xl/tables/table11.xml" ContentType="application/vnd.openxmlformats-officedocument.spreadsheetml.table+xml"/>
  <Override PartName="/xl/tables/table20.xml" ContentType="application/vnd.openxmlformats-officedocument.spreadsheetml.table+xml"/>
  <Override PartName="/xl/tables/table31.xml" ContentType="application/vnd.openxmlformats-officedocument.spreadsheetml.table+xml"/>
  <Override PartName="/xl/tables/table40.xml" ContentType="application/vnd.openxmlformats-officedocument.spreadsheetml.table+xml"/>
  <Override PartName="/customXml/itemProps12.xml" ContentType="application/vnd.openxmlformats-officedocument.customXm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customXml/itemProps10.xml" ContentType="application/vnd.openxmlformats-officedocument.customXm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tables/table49.xml" ContentType="application/vnd.openxmlformats-officedocument.spreadsheetml.table+xml"/>
  <Override PartName="/xl/calcChain.xml" ContentType="application/vnd.openxmlformats-officedocument.spreadsheetml.calcChain+xml"/>
  <Override PartName="/customXml/itemProps9.xml" ContentType="application/vnd.openxmlformats-officedocument.customXmlProperties+xml"/>
  <Override PartName="/xl/tables/table8.xml" ContentType="application/vnd.openxmlformats-officedocument.spreadsheetml.table+xml"/>
  <Override PartName="/xl/tables/table29.xml" ContentType="application/vnd.openxmlformats-officedocument.spreadsheetml.table+xml"/>
  <Override PartName="/xl/tables/table38.xml" ContentType="application/vnd.openxmlformats-officedocument.spreadsheetml.table+xml"/>
  <Override PartName="/xl/tables/table47.xml" ContentType="application/vnd.openxmlformats-officedocument.spreadsheetml.table+xml"/>
  <Override PartName="/xl/tables/table58.xml" ContentType="application/vnd.openxmlformats-officedocument.spreadsheetml.table+xml"/>
  <Override PartName="/customXml/itemProps7.xml" ContentType="application/vnd.openxmlformats-officedocument.customXmlProperties+xml"/>
  <Override PartName="/xl/tables/table6.xml" ContentType="application/vnd.openxmlformats-officedocument.spreadsheetml.table+xml"/>
  <Override PartName="/xl/tables/table18.xml" ContentType="application/vnd.openxmlformats-officedocument.spreadsheetml.table+xml"/>
  <Override PartName="/xl/tables/table27.xml" ContentType="application/vnd.openxmlformats-officedocument.spreadsheetml.table+xml"/>
  <Override PartName="/xl/tables/table36.xml" ContentType="application/vnd.openxmlformats-officedocument.spreadsheetml.table+xml"/>
  <Override PartName="/xl/tables/table45.xml" ContentType="application/vnd.openxmlformats-officedocument.spreadsheetml.table+xml"/>
  <Override PartName="/xl/tables/table56.xml" ContentType="application/vnd.openxmlformats-officedocument.spreadsheetml.table+xml"/>
  <Override PartName="/customXml/itemProps5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xl/tables/table16.xml" ContentType="application/vnd.openxmlformats-officedocument.spreadsheetml.table+xml"/>
  <Override PartName="/xl/tables/table34.xml" ContentType="application/vnd.openxmlformats-officedocument.spreadsheetml.table+xml"/>
  <Override PartName="/customXml/itemProps3.xml" ContentType="application/vnd.openxmlformats-officedocument.customXmlProperties+xml"/>
  <Override PartName="/customXml/itemProps1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hidePivotFieldList="1"/>
  <bookViews>
    <workbookView xWindow="0" yWindow="0" windowWidth="19420" windowHeight="11020" firstSheet="2" activeTab="2"/>
  </bookViews>
  <sheets>
    <sheet name="Servente" sheetId="18" state="hidden" r:id="rId1"/>
    <sheet name="Encarregado" sheetId="19" state="hidden" r:id="rId2"/>
    <sheet name="Quadro Resumo" sheetId="43" r:id="rId3"/>
    <sheet name="Modelo" sheetId="33" r:id="rId4"/>
    <sheet name="Uniformes EPI EPC" sheetId="27" r:id="rId5"/>
  </sheets>
  <definedNames>
    <definedName name="_1A" localSheetId="1">Encarregado!$D$11</definedName>
    <definedName name="_1A" localSheetId="0">Servente!$D$11</definedName>
    <definedName name="_1A">#REF!</definedName>
    <definedName name="_1B" localSheetId="1">Encarregado!$D$12</definedName>
    <definedName name="_1B" localSheetId="0">Servente!$D$12</definedName>
    <definedName name="_1B">#REF!</definedName>
    <definedName name="_1C" localSheetId="1">Encarregado!$D$13</definedName>
    <definedName name="_1C" localSheetId="0">Servente!$D$13</definedName>
    <definedName name="_1C">#REF!</definedName>
    <definedName name="_1D" localSheetId="1">Encarregado!$D$14</definedName>
    <definedName name="_1D" localSheetId="0">Servente!$D$14</definedName>
    <definedName name="_1D">#REF!</definedName>
    <definedName name="_1E" localSheetId="1">Encarregado!$D$15</definedName>
    <definedName name="_1E" localSheetId="0">Servente!$D$15</definedName>
    <definedName name="_1E">#REF!</definedName>
    <definedName name="_1F" localSheetId="1">Encarregado!$D$16</definedName>
    <definedName name="_1F" localSheetId="0">Servente!$D$16</definedName>
    <definedName name="_1F">#REF!</definedName>
    <definedName name="_2.1A" localSheetId="1">Encarregado!$D$22</definedName>
    <definedName name="_2.1A" localSheetId="0">Servente!$D$22</definedName>
    <definedName name="_2.1A">#REF!</definedName>
    <definedName name="_2.1B" localSheetId="1">Encarregado!$D$23</definedName>
    <definedName name="_2.1B" localSheetId="0">Servente!$D$23</definedName>
    <definedName name="_2.1B">#REF!</definedName>
    <definedName name="_2.3A" localSheetId="1">Encarregado!$D$49</definedName>
    <definedName name="_2.3A" localSheetId="0">Servente!$D$49</definedName>
    <definedName name="_2.3A">#REF!</definedName>
    <definedName name="_2.3B" localSheetId="1">Encarregado!$D$50</definedName>
    <definedName name="_2.3B" localSheetId="0">Servente!$D$50</definedName>
    <definedName name="_2.3B">#REF!</definedName>
    <definedName name="_2.3C" localSheetId="1">Encarregado!$D$51</definedName>
    <definedName name="_2.3C" localSheetId="0">Servente!$D$51</definedName>
    <definedName name="_2.3C">#REF!</definedName>
    <definedName name="_2.3D" localSheetId="1">Encarregado!$D$52</definedName>
    <definedName name="_2.3D" localSheetId="0">Servente!$D$52</definedName>
    <definedName name="_2.3D">#REF!</definedName>
    <definedName name="_xlcn.WorksheetConnection_PlanilhaLimpeza.xlsxTable3" hidden="1">Table3</definedName>
    <definedName name="Salário_Normativo_da_Categoria_Profissional" localSheetId="1">Encarregado!$D$5</definedName>
    <definedName name="Salário_Normativo_da_Categoria_Profissional" localSheetId="0">Servente!$D$5</definedName>
    <definedName name="Salário_Normativo_da_Categoria_Profissional">#REF!</definedName>
    <definedName name="SalarioBase" localSheetId="1">Encarregado!$D$5</definedName>
    <definedName name="SalarioBase" localSheetId="0">Servente!$D$5</definedName>
    <definedName name="SalarioBase">#REF!</definedName>
    <definedName name="Total1" localSheetId="1">Encarregado!#REF!</definedName>
    <definedName name="Total1" localSheetId="0">Servente!#REF!</definedName>
    <definedName name="Total1">#REF!</definedName>
    <definedName name="Total2.1" localSheetId="1">Encarregado!#REF!</definedName>
    <definedName name="Total2.1" localSheetId="0">Servente!#REF!</definedName>
    <definedName name="Total2.1">#REF!</definedName>
    <definedName name="Total2.2" localSheetId="1">Encarregado!#REF!</definedName>
    <definedName name="Total2.2" localSheetId="0">Servente!#REF!</definedName>
    <definedName name="Total2.2">#REF!</definedName>
    <definedName name="Total2.3" localSheetId="1">Encarregado!#REF!</definedName>
    <definedName name="Total2.3" localSheetId="0">Servente!#REF!</definedName>
    <definedName name="Total2.3">#REF!</definedName>
  </definedNames>
  <calcPr calcId="124519"/>
</workbook>
</file>

<file path=xl/calcChain.xml><?xml version="1.0" encoding="utf-8"?>
<calcChain xmlns="http://schemas.openxmlformats.org/spreadsheetml/2006/main">
  <c r="D44" i="33"/>
  <c r="G25" i="43"/>
  <c r="H25" s="1"/>
  <c r="G24"/>
  <c r="H24" s="1"/>
  <c r="F52" i="27"/>
  <c r="F51"/>
  <c r="F50"/>
  <c r="F49"/>
  <c r="F42"/>
  <c r="F43" s="1"/>
  <c r="F44" s="1"/>
  <c r="F41"/>
  <c r="F40"/>
  <c r="F33"/>
  <c r="F32"/>
  <c r="F31"/>
  <c r="F30"/>
  <c r="F23"/>
  <c r="F22"/>
  <c r="F21"/>
  <c r="F20"/>
  <c r="F14"/>
  <c r="F15" s="1"/>
  <c r="F13"/>
  <c r="F12"/>
  <c r="F11"/>
  <c r="F4"/>
  <c r="F3"/>
  <c r="D101" i="33"/>
  <c r="D107" s="1"/>
  <c r="D87"/>
  <c r="D92" s="1"/>
  <c r="C82"/>
  <c r="D45"/>
  <c r="C40"/>
  <c r="D11"/>
  <c r="D16" s="1"/>
  <c r="G13" i="4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D145" i="19"/>
  <c r="D144"/>
  <c r="C137"/>
  <c r="C136"/>
  <c r="C135"/>
  <c r="C134"/>
  <c r="C133"/>
  <c r="C132"/>
  <c r="D121"/>
  <c r="D147" s="1"/>
  <c r="D117"/>
  <c r="D107"/>
  <c r="D112" s="1"/>
  <c r="C96"/>
  <c r="D64"/>
  <c r="D50"/>
  <c r="D49"/>
  <c r="D54" s="1"/>
  <c r="D65" s="1"/>
  <c r="C35"/>
  <c r="D17"/>
  <c r="D143" s="1"/>
  <c r="D11"/>
  <c r="C137" i="18"/>
  <c r="C136"/>
  <c r="C135"/>
  <c r="C134"/>
  <c r="C133"/>
  <c r="C132"/>
  <c r="D121"/>
  <c r="D147" s="1"/>
  <c r="D120"/>
  <c r="D119"/>
  <c r="D118"/>
  <c r="D117"/>
  <c r="D107"/>
  <c r="D112" s="1"/>
  <c r="C96"/>
  <c r="D65"/>
  <c r="D50"/>
  <c r="C35"/>
  <c r="D11"/>
  <c r="D17" s="1"/>
  <c r="F34" i="27" l="1"/>
  <c r="F35" s="1"/>
  <c r="F24"/>
  <c r="F25" s="1"/>
  <c r="F5"/>
  <c r="F6" s="1"/>
  <c r="D126" i="33"/>
  <c r="D49"/>
  <c r="D55" s="1"/>
  <c r="D17"/>
  <c r="H26" i="43"/>
  <c r="F53" i="27"/>
  <c r="F54" s="1"/>
  <c r="H14" i="43"/>
  <c r="D38" i="18"/>
  <c r="G25"/>
  <c r="D94" s="1"/>
  <c r="D37"/>
  <c r="D40"/>
  <c r="D143"/>
  <c r="D22"/>
  <c r="D24" s="1"/>
  <c r="D63" s="1"/>
  <c r="D23"/>
  <c r="C41" i="19"/>
  <c r="G25" s="1"/>
  <c r="D94" s="1"/>
  <c r="D23"/>
  <c r="D22"/>
  <c r="D73"/>
  <c r="D65" i="33" l="1"/>
  <c r="D60"/>
  <c r="D61" s="1"/>
  <c r="D103"/>
  <c r="D62"/>
  <c r="D22"/>
  <c r="D63"/>
  <c r="D64" s="1"/>
  <c r="D23"/>
  <c r="D68"/>
  <c r="D122"/>
  <c r="D26"/>
  <c r="D33" i="18"/>
  <c r="G24"/>
  <c r="D24" i="19"/>
  <c r="D34" i="18"/>
  <c r="D36"/>
  <c r="D71"/>
  <c r="D72"/>
  <c r="D74"/>
  <c r="D70"/>
  <c r="D75"/>
  <c r="D39"/>
  <c r="D35"/>
  <c r="D24" i="33" l="1"/>
  <c r="D66"/>
  <c r="D41" i="18"/>
  <c r="D64" s="1"/>
  <c r="D66" s="1"/>
  <c r="D73" s="1"/>
  <c r="D76" s="1"/>
  <c r="D145" s="1"/>
  <c r="D90"/>
  <c r="D91"/>
  <c r="D95"/>
  <c r="D92"/>
  <c r="D93"/>
  <c r="D63" i="19"/>
  <c r="D37"/>
  <c r="G24"/>
  <c r="D34"/>
  <c r="D38"/>
  <c r="D33"/>
  <c r="D39"/>
  <c r="D36"/>
  <c r="D40"/>
  <c r="D35"/>
  <c r="D27" i="33" l="1"/>
  <c r="D28" s="1"/>
  <c r="D53"/>
  <c r="D70"/>
  <c r="D124"/>
  <c r="D105"/>
  <c r="D144" i="18"/>
  <c r="D148" s="1"/>
  <c r="D96"/>
  <c r="D111" s="1"/>
  <c r="D113" s="1"/>
  <c r="D146" s="1"/>
  <c r="D71" i="19"/>
  <c r="D72"/>
  <c r="D74"/>
  <c r="D75"/>
  <c r="D70"/>
  <c r="D95"/>
  <c r="D90"/>
  <c r="D96" s="1"/>
  <c r="D111" s="1"/>
  <c r="D113" s="1"/>
  <c r="D146" s="1"/>
  <c r="D91"/>
  <c r="D92"/>
  <c r="D93"/>
  <c r="D37" i="33" l="1"/>
  <c r="D39"/>
  <c r="D33"/>
  <c r="D38"/>
  <c r="D34"/>
  <c r="D35"/>
  <c r="D32"/>
  <c r="D36"/>
  <c r="D132" i="18"/>
  <c r="D133" s="1"/>
  <c r="D132" i="19"/>
  <c r="D148"/>
  <c r="D40" i="33" l="1"/>
  <c r="D54" s="1"/>
  <c r="D56" s="1"/>
  <c r="D138" i="18"/>
  <c r="D149" s="1"/>
  <c r="D150"/>
  <c r="D137" s="1"/>
  <c r="D138" i="19"/>
  <c r="D149" s="1"/>
  <c r="D133"/>
  <c r="D150" s="1"/>
  <c r="D69" i="33" l="1"/>
  <c r="D71" s="1"/>
  <c r="D123"/>
  <c r="D104"/>
  <c r="D135" i="18"/>
  <c r="D134"/>
  <c r="D136"/>
  <c r="D135" i="19"/>
  <c r="D134"/>
  <c r="D136"/>
  <c r="D137"/>
  <c r="D81" i="33" l="1"/>
  <c r="D76"/>
  <c r="D80"/>
  <c r="D79"/>
  <c r="D78"/>
  <c r="D77"/>
  <c r="D82" l="1"/>
  <c r="D91" s="1"/>
  <c r="D93" s="1"/>
  <c r="D125" l="1"/>
  <c r="D127" s="1"/>
  <c r="D106"/>
  <c r="D108" s="1"/>
  <c r="D112" l="1"/>
  <c r="D113" s="1"/>
  <c r="D117" l="1"/>
  <c r="D115"/>
  <c r="D116"/>
  <c r="D114" l="1"/>
  <c r="D118" s="1"/>
  <c r="D128" s="1"/>
  <c r="D129" s="1"/>
</calcChain>
</file>

<file path=xl/comments1.xml><?xml version="1.0" encoding="utf-8"?>
<comments xmlns="http://schemas.openxmlformats.org/spreadsheetml/2006/main">
  <authors>
    <author>Daniel Carlos</author>
  </authors>
  <commentList>
    <comment ref="G16" authorId="0">
      <text>
        <r>
          <rPr>
            <b/>
            <sz val="9"/>
            <rFont val="Tahoma"/>
            <family val="2"/>
          </rPr>
          <t>Daniel Carlos:</t>
        </r>
        <r>
          <rPr>
            <sz val="9"/>
            <rFont val="Tahoma"/>
            <family val="2"/>
          </rPr>
          <t xml:space="preserve">
Valores que constam no caderno técnico. A unidade deve realizar pesquisa de mercado para o levantamento do percentual médio destas rubricas.</t>
        </r>
      </text>
    </comment>
  </commentList>
</comments>
</file>

<file path=xl/comments2.xml><?xml version="1.0" encoding="utf-8"?>
<comments xmlns="http://schemas.openxmlformats.org/spreadsheetml/2006/main">
  <authors>
    <author>Daniel Carlos</author>
  </authors>
  <commentList>
    <comment ref="G16" authorId="0">
      <text>
        <r>
          <rPr>
            <b/>
            <sz val="9"/>
            <rFont val="Tahoma"/>
            <family val="2"/>
          </rPr>
          <t>Daniel Carlos:</t>
        </r>
        <r>
          <rPr>
            <sz val="9"/>
            <rFont val="Tahoma"/>
            <family val="2"/>
          </rPr>
          <t xml:space="preserve">
Valores que constam no caderno técnico. A unidade deve realizar pesquisa de mercado para o levantamento do percentual médio destas rubricas.</t>
        </r>
      </text>
    </comment>
  </commentList>
</comments>
</file>

<file path=xl/comments3.xml><?xml version="1.0" encoding="utf-8"?>
<comments xmlns="http://schemas.openxmlformats.org/spreadsheetml/2006/main">
  <authors>
    <author>Daniel Carlos</author>
  </authors>
  <commentList>
    <comment ref="G16" authorId="0">
      <text>
        <r>
          <rPr>
            <b/>
            <sz val="9"/>
            <rFont val="Tahoma"/>
            <family val="2"/>
          </rPr>
          <t>Daniel Carlos:</t>
        </r>
        <r>
          <rPr>
            <sz val="9"/>
            <rFont val="Tahoma"/>
            <family val="2"/>
          </rPr>
          <t xml:space="preserve">
Valores que constam no caderno técnico. A unidade deve realizar pesquisa de mercado para o levantamento do percentual médio destas rubricas.</t>
        </r>
      </text>
    </comment>
  </commentList>
</comments>
</file>

<file path=xl/connections.xml><?xml version="1.0" encoding="utf-8"?>
<connections xmlns="http://schemas.openxmlformats.org/spreadsheetml/2006/main">
  <connection id="1" name="WorksheetConnection_Planilha Limpeza.xlsx!Table3" type="5" refreshedVersion="2" saveData="1">
    <dbPr connection="" command=""/>
  </connection>
</connections>
</file>

<file path=xl/sharedStrings.xml><?xml version="1.0" encoding="utf-8"?>
<sst xmlns="http://schemas.openxmlformats.org/spreadsheetml/2006/main" count="1018" uniqueCount="251">
  <si>
    <t>Dados para composição dos custos referentes a mão de obra</t>
  </si>
  <si>
    <t>Dados Gerais</t>
  </si>
  <si>
    <t>Item</t>
  </si>
  <si>
    <t>Descrição</t>
  </si>
  <si>
    <t>Comentário</t>
  </si>
  <si>
    <t>Valor</t>
  </si>
  <si>
    <t xml:space="preserve">Tipo de Serviço </t>
  </si>
  <si>
    <t>Limpeza</t>
  </si>
  <si>
    <t>Valor do Vale Transporte</t>
  </si>
  <si>
    <t>Classificação Brasileira de Ocupações (CBO)</t>
  </si>
  <si>
    <t xml:space="preserve">5143-20 </t>
  </si>
  <si>
    <t>Valor do Auxílio Alimentação</t>
  </si>
  <si>
    <t>Salário Normativo da Categoria Profissional</t>
  </si>
  <si>
    <t>CCT PB000199/2019 (Grupo 01)</t>
  </si>
  <si>
    <t>Dias de Trabalho no mês</t>
  </si>
  <si>
    <t>Categoria Profissional</t>
  </si>
  <si>
    <t xml:space="preserve"> CCT PB000199/2019</t>
  </si>
  <si>
    <t>Servente de Limpeza</t>
  </si>
  <si>
    <t>RAT x SAT</t>
  </si>
  <si>
    <t>Data-Base da Categoria</t>
  </si>
  <si>
    <t>01 de Janeiro</t>
  </si>
  <si>
    <t>Dados sobre Desligamento</t>
  </si>
  <si>
    <t>Módulo 1 - Composição da Remuneração</t>
  </si>
  <si>
    <t>Tipos</t>
  </si>
  <si>
    <t>Percentual</t>
  </si>
  <si>
    <t>1</t>
  </si>
  <si>
    <t>Composição da Remuneração</t>
  </si>
  <si>
    <t>SEM justa causa - AP INDENIZADO</t>
  </si>
  <si>
    <t>A</t>
  </si>
  <si>
    <t>Salário-Base</t>
  </si>
  <si>
    <t>SEM justa causa - AP TRABALHADO</t>
  </si>
  <si>
    <t>B</t>
  </si>
  <si>
    <t>Adicional de Periculosidade</t>
  </si>
  <si>
    <t>Demissões COM justa causa</t>
  </si>
  <si>
    <t>C</t>
  </si>
  <si>
    <t>Adicional de Insalubridade</t>
  </si>
  <si>
    <t>D</t>
  </si>
  <si>
    <t>Adicional Noturno</t>
  </si>
  <si>
    <t>CITL</t>
  </si>
  <si>
    <t>E</t>
  </si>
  <si>
    <t>Adicional de Hora Noturna Reduzida</t>
  </si>
  <si>
    <t>F</t>
  </si>
  <si>
    <t>Outros (especificar)</t>
  </si>
  <si>
    <t>Custos indiretos</t>
  </si>
  <si>
    <t>Total</t>
  </si>
  <si>
    <t>Lucro</t>
  </si>
  <si>
    <t>PIS</t>
  </si>
  <si>
    <t>Módulo 2 - Encargos e Benefícios Anuais, Mensais e Diários</t>
  </si>
  <si>
    <t>COFINS</t>
  </si>
  <si>
    <t> Submódulo 2.1 - 13º (décimo terceiro) Salário e Adicional de Férias</t>
  </si>
  <si>
    <t>ISS</t>
  </si>
  <si>
    <t>2.1</t>
  </si>
  <si>
    <t>13º (décimo terceiro) Salário e Adicional de Férias</t>
  </si>
  <si>
    <t>13º (décimo terceiro) Salário</t>
  </si>
  <si>
    <t>Base de Cálculo para o Custo do Profissional Ausente</t>
  </si>
  <si>
    <t>Adicional de Férias</t>
  </si>
  <si>
    <t>BCPPA</t>
  </si>
  <si>
    <t>BCPPA (Afastamento Maternidade)</t>
  </si>
  <si>
    <t>Memória de Cálculo - Submódulo 2.1</t>
  </si>
  <si>
    <t>Rubrica</t>
  </si>
  <si>
    <t>Base de Cálculo</t>
  </si>
  <si>
    <t>Memória de Cálculo</t>
  </si>
  <si>
    <t>13 º (décimo terceiro) Salário</t>
  </si>
  <si>
    <t>Módulo 1 (Total)</t>
  </si>
  <si>
    <t>8,33%  x Base de Cálculo, Sendo 8,33% = 1 ÷ 12</t>
  </si>
  <si>
    <t>Base de Cálculo x (1 ÷ 3)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</si>
  <si>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</si>
  <si>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</si>
  <si>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</si>
  <si>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Valor 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</si>
  <si>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</si>
  <si>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</si>
  <si>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</si>
  <si>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</si>
  <si>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</si>
  <si>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</si>
  <si>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</si>
  <si>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</si>
  <si>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</si>
  <si>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</si>
  <si>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>Memória de Cálculo - Submódulo 2.2</t>
  </si>
  <si>
    <t>A a H</t>
  </si>
  <si>
    <t>Módulo 1 (Total) + Submódulo 2.1</t>
  </si>
  <si>
    <t>Alíquota x Base de Cálculo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</si>
  <si>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</si>
  <si>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</si>
  <si>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</si>
  <si>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</si>
  <si>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</si>
  <si>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Seguro de Vida</t>
  </si>
  <si>
    <t>Auxílio-Morte/Funeral</t>
  </si>
  <si>
    <t>Cláusula Décima Sexta da CCT</t>
  </si>
  <si>
    <t>Benefício Odontológico</t>
  </si>
  <si>
    <t>Cláusula Décima Quarta da CCT</t>
  </si>
  <si>
    <t>Memória de Cálculo - Submódulo 2.3</t>
  </si>
  <si>
    <t>-</t>
  </si>
  <si>
    <t>(Valor do Vale x 2 Vales/dia x Dias de Trabalho) - 6% x Salário Base</t>
  </si>
  <si>
    <t>(Valor do Vale Alim. x Qtde. Dias de Trab)  x 80%</t>
  </si>
  <si>
    <t>Quadro-Resumo do Módulo 2 - Encargos e Benefícios anuais, mensais e diários</t>
  </si>
  <si>
    <t>2</t>
  </si>
  <si>
    <t>Encargos e Benefícios Anuais, Mensais e Diários</t>
  </si>
  <si>
    <t>Módulo 3 - Provisão para Rescisão</t>
  </si>
  <si>
    <t>3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</si>
  <si>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</si>
  <si>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</si>
  <si>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</si>
  <si>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</si>
  <si>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</si>
  <si>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Multa do FGTS e contribuição social sobre o Aviso Prévio Trabalhado</t>
  </si>
  <si>
    <t>(-)Demissão por justa causa</t>
  </si>
  <si>
    <t>Memória de Cálculo - Módulo 3</t>
  </si>
  <si>
    <t>Módulo 1 (Total) + Submódulo 2.1 + Submódulo 2.3</t>
  </si>
  <si>
    <t>(Base de Cálculo / 12) x Percentual de AP Indenizado (Tabela "Dados sobre desligamento")</t>
  </si>
  <si>
    <t>Item H do submódulo 2.2 (FGTS)</t>
  </si>
  <si>
    <t>Base de Cálculo x 50 % (40% de multa + 10% contribuição social) x Percentual de AP Indenizado (Tabela "Dados sobre desligamento")</t>
  </si>
  <si>
    <t>Módulo 1 (Total) + Módulo 2 (Total)</t>
  </si>
  <si>
    <t>(Base de Cálculo / 12) x Percentual de AP Trabalhado (Tabela "Dados sobre desligamento")</t>
  </si>
  <si>
    <t>Base de Cálculo x 50 % (40% de multa + 10% contribuição social) x Percentual de AP Trabalhado (Tabela "Dados sobre desligamento")</t>
  </si>
  <si>
    <t>Submódulo 2.1</t>
  </si>
  <si>
    <t>Base de Cálculo x Percentual de Demissões COM justa Causa (Tabela "Dados sobre desligamento")</t>
  </si>
  <si>
    <t xml:space="preserve">Módulo 4 - Custo de Reposição do Profissional Ausente
</t>
  </si>
  <si>
    <t>Submódulo 4.1 - Substituto nas Ausências Legais</t>
  </si>
  <si>
    <t>4.1</t>
  </si>
  <si>
    <t>Substituto nas Ausências Legais</t>
  </si>
  <si>
    <t>Dias de ausência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</si>
  <si>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</si>
  <si>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</si>
  <si>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</si>
  <si>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</si>
  <si>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</si>
  <si>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Ausência por Doença</t>
  </si>
  <si>
    <t>Memória de Cálculo - Módulo 4</t>
  </si>
  <si>
    <t>A a F</t>
  </si>
  <si>
    <t>Dias de Ausência conforme caderno técnico de limpeza/PB 2018, p. 20.</t>
  </si>
  <si>
    <t>A, B, C, D e F</t>
  </si>
  <si>
    <t>Valor das rubricas</t>
  </si>
  <si>
    <t xml:space="preserve">Custo diário para o repositor = (Módulo 1 + SubMódulo 2.1 + (Módulo1 / 12) * (100% + Submódulo 2.2 (%)) / 30 </t>
  </si>
  <si>
    <t>(Base de cálculo x Dias de Ausência) / 12</t>
  </si>
  <si>
    <t>Valor das Rubricas</t>
  </si>
  <si>
    <t>Custo diário para o repositor (afastamento maternidade) = ([Módulo 1 x (1 +1/3) x (100% + % sbmódulo 2.2) ]/12 )/ 30</t>
  </si>
  <si>
    <t>Submódulo 4.2 - Substituto na Intrajornada</t>
  </si>
  <si>
    <t>4.2</t>
  </si>
  <si>
    <t>Substituto na Intrajornada </t>
  </si>
  <si>
    <t>Substituto na cobertura de Intervalo para repouso ou alimentação</t>
  </si>
  <si>
    <t>Quadro-Resumo do Módulo 4 - Custo de Reposição do Profissional Ausente</t>
  </si>
  <si>
    <t>4</t>
  </si>
  <si>
    <t>Custo de Reposição do Profissional Ausente</t>
  </si>
  <si>
    <t>Substituto na Intrajornada</t>
  </si>
  <si>
    <t>Módulo 5 - Insumos Diversos</t>
  </si>
  <si>
    <t>5</t>
  </si>
  <si>
    <t>Insumos Diversos</t>
  </si>
  <si>
    <t>Uniformes</t>
  </si>
  <si>
    <t>Materiais</t>
  </si>
  <si>
    <t>Equipamentos</t>
  </si>
  <si>
    <t>EPI</t>
  </si>
  <si>
    <t>Memória de Cálculo - Módulo 5</t>
  </si>
  <si>
    <t>Tabela Uniformes Serventes</t>
  </si>
  <si>
    <t>Total da Tabela Materiais</t>
  </si>
  <si>
    <t>Base de Cálculo / Qtde. de Serventes</t>
  </si>
  <si>
    <t>Custo total dos equipamentos (Manutenção + Depreciação)</t>
  </si>
  <si>
    <t>Módulo 6 - Custos Indiretos, Tributos e Lucro</t>
  </si>
  <si>
    <t>6</t>
  </si>
  <si>
    <t>Custos Indiretos, Tributos e Lucro</t>
  </si>
  <si>
    <t>Custos Indiretos</t>
  </si>
  <si>
    <t>Tributos</t>
  </si>
  <si>
    <t>C.1</t>
  </si>
  <si>
    <t>C.2</t>
  </si>
  <si>
    <t>C.3</t>
  </si>
  <si>
    <t>QUADRO-RESUMO DO CUSTO POR EMPREGADO</t>
  </si>
  <si>
    <t>Mão de obra vinculada à execução contratual</t>
  </si>
  <si>
    <t>Módulo 4 - Custo de Reposição do Profissional Ausente</t>
  </si>
  <si>
    <t>Subtotal (A + B +C+ D+E)</t>
  </si>
  <si>
    <t>Valor Total por Empregado</t>
  </si>
  <si>
    <t>Encarregado</t>
  </si>
  <si>
    <t>Quadro Resumo</t>
  </si>
  <si>
    <t>Quantidade</t>
  </si>
  <si>
    <t>CBO</t>
  </si>
  <si>
    <t>Salário Base (CCT 41/2020)*</t>
  </si>
  <si>
    <t>Valor Mensal do Posto</t>
  </si>
  <si>
    <t>Valor Global do Posto</t>
  </si>
  <si>
    <t>Valor Total</t>
  </si>
  <si>
    <t>Monitor de Sistemas Eletrônicos (6% graticação)</t>
  </si>
  <si>
    <t>9513-15</t>
  </si>
  <si>
    <t>Almoxarife</t>
  </si>
  <si>
    <t>4141-05</t>
  </si>
  <si>
    <t>Recepcionista</t>
  </si>
  <si>
    <t>Operador de Fotocopiadora</t>
  </si>
  <si>
    <t>4151-30</t>
  </si>
  <si>
    <t>Copeiro</t>
  </si>
  <si>
    <t>5134-25</t>
  </si>
  <si>
    <t>Montador de Equipamentos Eletrônicos</t>
  </si>
  <si>
    <t>7311-10</t>
  </si>
  <si>
    <t>Jardineiro</t>
  </si>
  <si>
    <t>6220-10</t>
  </si>
  <si>
    <t>3224-05</t>
  </si>
  <si>
    <t>TOTAL</t>
  </si>
  <si>
    <t>*  Valores atualizados com base no salário mínimo vigente.</t>
  </si>
  <si>
    <t>Quantidade de Profissionais</t>
  </si>
  <si>
    <t>Outros (Gratificação Adicional)</t>
  </si>
  <si>
    <t>BASE DE CÁLCULO PARA O SUBMÓDULO 2.2</t>
  </si>
  <si>
    <t>MÓDULO 1</t>
  </si>
  <si>
    <t>MÓDULO 2.1</t>
  </si>
  <si>
    <t>Incidência de GPS, FGTS e outras contribuições sobre o Aviso Prévio Trabalhado</t>
  </si>
  <si>
    <t>BASE DE CÁLCULO PARA O MÓDULO 4</t>
  </si>
  <si>
    <t>MÓDULO 2</t>
  </si>
  <si>
    <t>MÓDULO 3</t>
  </si>
  <si>
    <t>Substituto na cobertura de Outras ausências (especificar)</t>
  </si>
  <si>
    <t>Uniformes e EPI</t>
  </si>
  <si>
    <t>EPC</t>
  </si>
  <si>
    <t>BASE DE CÁLCULO PARA O MÓDULO 6</t>
  </si>
  <si>
    <t>MÓDULO 4</t>
  </si>
  <si>
    <t>MÓDULO 5</t>
  </si>
  <si>
    <t>CÁLCULO POR DENTRO</t>
  </si>
  <si>
    <t>TOTAL DOS TRIBUTOS</t>
  </si>
  <si>
    <t>BASE DE CÁLCULO</t>
  </si>
  <si>
    <t>ÍNDICE</t>
  </si>
  <si>
    <t>UNIFORMES - Mon. Sis. Eletr.; Almoxarife; Op. De Fotocopiadora; Mont. De Sistemas Elet.; Recepcionista</t>
  </si>
  <si>
    <t>ITEM</t>
  </si>
  <si>
    <t>DESCRIÇÃO</t>
  </si>
  <si>
    <t>UNIDADE</t>
  </si>
  <si>
    <t xml:space="preserve">  VALOR UNITÁRIO ESTIMADO (R$) </t>
  </si>
  <si>
    <t>QUANTIDADE</t>
  </si>
  <si>
    <t>VALOR TOTAL  (R$)</t>
  </si>
  <si>
    <t xml:space="preserve">Camisa social masculina com botões, manga curta, com emblema da empresa, 100% algodão, nas cores da empresa. </t>
  </si>
  <si>
    <t>UND</t>
  </si>
  <si>
    <t>Calça social, confeccionada com tecido Oxford, na cor preta.</t>
  </si>
  <si>
    <t>Custo Mensal por Posto</t>
  </si>
  <si>
    <t>UNIFORMES - Copeiro</t>
  </si>
  <si>
    <t>Jaleco com emblema e cor da empresa</t>
  </si>
  <si>
    <t>UNIFORMES - Jardineiro</t>
  </si>
  <si>
    <t>Camisa Profissional, manga curta, com emblema da empresa, gola V, sem botões, confeccionada em Brim (100% algodão), nas cores da empresa.</t>
  </si>
  <si>
    <t>Calça com cós de elástico, dois bolsos frontais e dois bolsos na traseira, confeccionado em brim 100% algodão, sem partes metálicas, na cores da empresa.</t>
  </si>
  <si>
    <t>Bota Profissional, ½ cano com elástico, confeccionada em couro e palmilha higiênica com tratamento antibactericida, fabricado em Poliuretano e a biqueira de plástico pré-moldada.</t>
  </si>
  <si>
    <t>Boné confeccionado em tecido de brim, com abas laterais, nas cores da empresa.</t>
  </si>
  <si>
    <t>UNIFORMES - Manutenção Predial</t>
  </si>
  <si>
    <t>Botas de segurança para serviços elétricos com CA.</t>
  </si>
  <si>
    <t>PAR</t>
  </si>
  <si>
    <t>UNIFORMES - THB</t>
  </si>
  <si>
    <t xml:space="preserve">Camisa social, na cor branca, masculina/feminina com botões, manga curta, com emblema da empresa, 100% algodão, nas cores da empresa. </t>
  </si>
  <si>
    <t>Calça social, na cor branca, confeccionada com tecido Oxford.</t>
  </si>
  <si>
    <t xml:space="preserve">Sapato modelo slip on em couro na cor branca. </t>
  </si>
  <si>
    <t>Jaleco, mangas longas, na cor branca, com emblema da empresa</t>
  </si>
  <si>
    <t>** Remuneração definida com base no DC 0000069-54.2017.5.13.0000.</t>
  </si>
  <si>
    <t>Eletricista</t>
  </si>
  <si>
    <t>7156-10</t>
  </si>
  <si>
    <t>THB*** (40% insalubridade)**</t>
  </si>
  <si>
    <t>*** Técnico em Higiene Bucal</t>
  </si>
  <si>
    <t>Trabalhadores nos Serviços de Manutenção de Edificações</t>
  </si>
  <si>
    <t>Grupo I</t>
  </si>
  <si>
    <t>Grupo II</t>
  </si>
  <si>
    <t>UNIFORMES - Eletricista Predial (Periculosidade)</t>
  </si>
</sst>
</file>

<file path=xl/styles.xml><?xml version="1.0" encoding="utf-8"?>
<styleSheet xmlns="http://schemas.openxmlformats.org/spreadsheetml/2006/main">
  <numFmts count="10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_);[Red]\(&quot;R$&quot;\ #,##0.00\)"/>
    <numFmt numFmtId="165" formatCode="&quot;R$&quot;#,##0.00"/>
    <numFmt numFmtId="166" formatCode="&quot;R$&quot;\ #,##0.00"/>
    <numFmt numFmtId="167" formatCode="0_);[Red]\(0\)"/>
    <numFmt numFmtId="168" formatCode="&quot;R$&quot;#,##0.00_);[Red]&quot;(R$&quot;#,##0.00\)"/>
    <numFmt numFmtId="169" formatCode="0.0000_ "/>
    <numFmt numFmtId="170" formatCode="&quot;R$&quot;\ #,###.##000"/>
    <numFmt numFmtId="171" formatCode="&quot;R$&quot;\ #,###.00"/>
  </numFmts>
  <fonts count="1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9"/>
      <name val="Tahoma"/>
      <family val="2"/>
    </font>
    <font>
      <sz val="9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9" tint="0.79995117038483843"/>
        <bgColor theme="9" tint="0.59999389629810485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theme="9" tint="0.79992065187536243"/>
      </patternFill>
    </fill>
    <fill>
      <patternFill patternType="solid">
        <fgColor theme="9" tint="0.79992065187536243"/>
        <bgColor theme="9" tint="0.79992065187536243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70AD47"/>
        <bgColor rgb="FF339966"/>
      </patternFill>
    </fill>
    <fill>
      <patternFill patternType="solid">
        <fgColor rgb="FFC5E0B4"/>
        <bgColor rgb="FFA9D18E"/>
      </patternFill>
    </fill>
    <fill>
      <patternFill patternType="solid">
        <fgColor rgb="FFF4B183"/>
        <bgColor rgb="FFFF99CC"/>
      </patternFill>
    </fill>
    <fill>
      <patternFill patternType="solid">
        <fgColor rgb="FFE2F0D9"/>
        <bgColor rgb="FFF2F2F2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FFFFFF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</cellStyleXfs>
  <cellXfs count="13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justify" vertical="center"/>
    </xf>
    <xf numFmtId="0" fontId="0" fillId="4" borderId="3" xfId="0" applyFont="1" applyFill="1" applyBorder="1" applyAlignment="1">
      <alignment horizontal="center" vertical="center" wrapText="1"/>
    </xf>
    <xf numFmtId="166" fontId="0" fillId="5" borderId="3" xfId="0" applyNumberFormat="1" applyFont="1" applyFill="1" applyBorder="1" applyAlignment="1">
      <alignment horizontal="center" vertical="center"/>
    </xf>
    <xf numFmtId="166" fontId="0" fillId="4" borderId="4" xfId="0" applyNumberFormat="1" applyFont="1" applyFill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center" vertical="center"/>
    </xf>
    <xf numFmtId="0" fontId="3" fillId="6" borderId="5" xfId="0" applyNumberFormat="1" applyFont="1" applyFill="1" applyBorder="1" applyAlignment="1">
      <alignment horizontal="justify" vertical="center"/>
    </xf>
    <xf numFmtId="0" fontId="3" fillId="6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166" fontId="0" fillId="6" borderId="4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 vertical="center"/>
    </xf>
    <xf numFmtId="0" fontId="5" fillId="7" borderId="7" xfId="0" applyFont="1" applyFill="1" applyBorder="1"/>
    <xf numFmtId="164" fontId="4" fillId="7" borderId="8" xfId="0" applyNumberFormat="1" applyFont="1" applyFill="1" applyBorder="1" applyAlignment="1">
      <alignment horizontal="center" vertical="center"/>
    </xf>
    <xf numFmtId="0" fontId="0" fillId="6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166" fontId="0" fillId="5" borderId="9" xfId="0" applyNumberFormat="1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wrapText="1"/>
    </xf>
    <xf numFmtId="0" fontId="0" fillId="8" borderId="10" xfId="0" applyNumberFormat="1" applyFont="1" applyFill="1" applyBorder="1" applyAlignment="1">
      <alignment horizontal="center" vertical="center"/>
    </xf>
    <xf numFmtId="0" fontId="3" fillId="8" borderId="10" xfId="0" applyNumberFormat="1" applyFont="1" applyFill="1" applyBorder="1" applyAlignment="1">
      <alignment horizontal="left" vertical="center" wrapText="1"/>
    </xf>
    <xf numFmtId="0" fontId="3" fillId="8" borderId="10" xfId="0" applyNumberFormat="1" applyFont="1" applyFill="1" applyBorder="1" applyAlignment="1">
      <alignment horizontal="center" vertical="center"/>
    </xf>
    <xf numFmtId="166" fontId="0" fillId="5" borderId="11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3" fillId="0" borderId="0" xfId="0" applyFont="1"/>
    <xf numFmtId="0" fontId="0" fillId="9" borderId="10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0" fontId="0" fillId="9" borderId="11" xfId="0" applyFont="1" applyFill="1" applyBorder="1" applyAlignment="1">
      <alignment horizontal="center" vertical="center" wrapText="1"/>
    </xf>
    <xf numFmtId="166" fontId="0" fillId="9" borderId="1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9" borderId="10" xfId="0" applyNumberFormat="1" applyFont="1" applyFill="1" applyBorder="1" applyAlignment="1">
      <alignment horizontal="justify" vertical="center"/>
    </xf>
    <xf numFmtId="0" fontId="3" fillId="4" borderId="2" xfId="0" applyNumberFormat="1" applyFont="1" applyFill="1" applyBorder="1" applyAlignment="1">
      <alignment horizontal="left" vertical="center" wrapText="1"/>
    </xf>
    <xf numFmtId="0" fontId="3" fillId="9" borderId="10" xfId="0" applyNumberFormat="1" applyFont="1" applyFill="1" applyBorder="1" applyAlignment="1">
      <alignment horizontal="left" vertical="center" wrapText="1"/>
    </xf>
    <xf numFmtId="0" fontId="3" fillId="9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10" borderId="0" xfId="2" applyFont="1" applyFill="1" applyAlignment="1">
      <alignment horizontal="center" vertical="center"/>
    </xf>
    <xf numFmtId="164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 vertical="center"/>
    </xf>
    <xf numFmtId="9" fontId="0" fillId="10" borderId="0" xfId="0" applyNumberFormat="1" applyFill="1" applyAlignment="1">
      <alignment horizontal="center" vertical="center"/>
    </xf>
    <xf numFmtId="167" fontId="0" fillId="10" borderId="0" xfId="0" applyNumberFormat="1" applyFill="1" applyAlignment="1">
      <alignment horizontal="center" vertical="center"/>
    </xf>
    <xf numFmtId="0" fontId="0" fillId="0" borderId="0" xfId="0" applyFont="1" applyFill="1" applyAlignment="1"/>
    <xf numFmtId="10" fontId="0" fillId="0" borderId="0" xfId="0" applyNumberFormat="1" applyFont="1" applyFill="1" applyAlignment="1"/>
    <xf numFmtId="166" fontId="0" fillId="0" borderId="0" xfId="0" applyNumberFormat="1" applyAlignment="1">
      <alignment horizontal="center"/>
    </xf>
    <xf numFmtId="0" fontId="0" fillId="11" borderId="0" xfId="0" applyFill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168" fontId="8" fillId="14" borderId="16" xfId="0" applyNumberFormat="1" applyFont="1" applyFill="1" applyBorder="1" applyAlignment="1">
      <alignment horizontal="center" vertical="center"/>
    </xf>
    <xf numFmtId="0" fontId="0" fillId="0" borderId="0" xfId="0" applyAlignment="1"/>
    <xf numFmtId="0" fontId="7" fillId="15" borderId="16" xfId="0" applyFont="1" applyFill="1" applyBorder="1" applyAlignment="1">
      <alignment horizontal="center" vertical="center"/>
    </xf>
    <xf numFmtId="168" fontId="7" fillId="14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0" fontId="0" fillId="0" borderId="0" xfId="1" applyNumberFormat="1" applyFont="1" applyAlignment="1">
      <alignment horizontal="center"/>
    </xf>
    <xf numFmtId="10" fontId="0" fillId="11" borderId="0" xfId="1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0" fontId="0" fillId="11" borderId="0" xfId="1" applyNumberFormat="1" applyFont="1" applyFill="1" applyAlignment="1">
      <alignment horizontal="center" vertical="center"/>
    </xf>
    <xf numFmtId="166" fontId="0" fillId="11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0" fontId="8" fillId="13" borderId="15" xfId="0" applyFont="1" applyFill="1" applyBorder="1" applyAlignment="1">
      <alignment horizontal="left" vertical="center"/>
    </xf>
    <xf numFmtId="10" fontId="8" fillId="14" borderId="0" xfId="1" applyNumberFormat="1" applyFont="1" applyFill="1" applyBorder="1" applyAlignment="1" applyProtection="1">
      <alignment horizontal="center" vertical="center"/>
    </xf>
    <xf numFmtId="0" fontId="8" fillId="15" borderId="16" xfId="0" applyFont="1" applyFill="1" applyBorder="1" applyAlignment="1">
      <alignment horizontal="left" vertical="center"/>
    </xf>
    <xf numFmtId="168" fontId="8" fillId="14" borderId="0" xfId="0" applyNumberFormat="1" applyFont="1" applyFill="1" applyAlignment="1">
      <alignment horizontal="center" vertical="center"/>
    </xf>
    <xf numFmtId="169" fontId="8" fillId="14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2" fillId="7" borderId="0" xfId="0" applyFont="1" applyFill="1"/>
    <xf numFmtId="0" fontId="5" fillId="7" borderId="0" xfId="0" applyFont="1" applyFill="1"/>
    <xf numFmtId="166" fontId="2" fillId="7" borderId="0" xfId="0" applyNumberFormat="1" applyFont="1" applyFill="1" applyAlignment="1">
      <alignment horizontal="center"/>
    </xf>
    <xf numFmtId="171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0" fontId="0" fillId="16" borderId="18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7" fontId="0" fillId="2" borderId="18" xfId="2" applyNumberFormat="1" applyFon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6" fontId="0" fillId="7" borderId="18" xfId="0" applyNumberFormat="1" applyFill="1" applyBorder="1"/>
    <xf numFmtId="44" fontId="0" fillId="10" borderId="0" xfId="2" applyFont="1" applyFill="1" applyAlignment="1">
      <alignment horizontal="center"/>
    </xf>
    <xf numFmtId="2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9" fontId="0" fillId="10" borderId="0" xfId="0" applyNumberFormat="1" applyFill="1" applyAlignment="1">
      <alignment horizontal="center"/>
    </xf>
    <xf numFmtId="10" fontId="0" fillId="0" borderId="0" xfId="0" applyNumberFormat="1"/>
    <xf numFmtId="10" fontId="0" fillId="10" borderId="0" xfId="1" applyNumberFormat="1" applyFont="1" applyFill="1" applyAlignment="1"/>
    <xf numFmtId="10" fontId="0" fillId="0" borderId="0" xfId="1" applyNumberFormat="1" applyFont="1" applyAlignment="1"/>
    <xf numFmtId="165" fontId="0" fillId="0" borderId="0" xfId="0" applyNumberFormat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166" fontId="5" fillId="7" borderId="0" xfId="0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8" fontId="8" fillId="0" borderId="0" xfId="0" applyNumberFormat="1" applyFont="1" applyFill="1" applyBorder="1" applyAlignment="1">
      <alignment horizontal="center" vertical="center"/>
    </xf>
    <xf numFmtId="168" fontId="7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7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70" fontId="0" fillId="0" borderId="0" xfId="0" applyNumberForma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0" fillId="16" borderId="18" xfId="0" applyFill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12" borderId="17" xfId="0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4">
    <cellStyle name="Excel Built-in Normal" xfId="3"/>
    <cellStyle name="Moeda" xfId="2" builtinId="4"/>
    <cellStyle name="Normal" xfId="0" builtinId="0"/>
    <cellStyle name="Porcentagem" xfId="1" builtinId="5"/>
  </cellStyles>
  <dxfs count="232">
    <dxf>
      <alignment horizontal="center"/>
    </dxf>
    <dxf>
      <alignment horizontal="center"/>
    </dxf>
    <dxf>
      <alignment horizontal="center"/>
    </dxf>
    <dxf>
      <numFmt numFmtId="166" formatCode="&quot;R$&quot;\ #,##0.00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numFmt numFmtId="166" formatCode="&quot;R$&quot;\ #,##0.00"/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numFmt numFmtId="166" formatCode="&quot;R$&quot;\ #,##0.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numFmt numFmtId="171" formatCode="&quot;R$&quot;\ #,###.00"/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numFmt numFmtId="166" formatCode="&quot;R$&quot;\ #,##0.00"/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&quot;R$&quot;\ #,##0.00"/>
      <alignment horizontal="center" vertical="bottom" textRotation="0" wrapText="0" indent="0" relativeIndent="0" justifyLastLine="0" shrinkToFit="0" mergeCell="0" readingOrder="0"/>
    </dxf>
    <dxf>
      <numFmt numFmtId="14" formatCode="0.00%"/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&quot;R$&quot;\ #,##0.00"/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&quot;R$&quot;\ #,##0.00"/>
      <alignment horizontal="center" vertical="bottom" textRotation="0" wrapText="0" indent="0" relativeIndent="0" justifyLastLine="0" shrinkToFit="0" mergeCell="0" readingOrder="0"/>
    </dxf>
    <dxf>
      <numFmt numFmtId="0" formatCode="General"/>
      <alignment horizontal="center" vertical="bottom" textRotation="0" wrapText="0" indent="0" relativeIndent="0" justifyLastLine="0" shrinkToFit="0" mergeCell="0" readingOrder="0"/>
    </dxf>
    <dxf>
      <alignment horizontal="center"/>
    </dxf>
    <dxf>
      <alignment horizontal="center"/>
    </dxf>
    <dxf>
      <alignment horizontal="center" vertical="bottom" textRotation="0" wrapText="0" indent="0" relativeIndent="0" justifyLastLine="0" shrinkToFit="0" mergeCell="0" readingOrder="0"/>
    </dxf>
    <dxf>
      <alignment horizontal="center"/>
    </dxf>
    <dxf>
      <numFmt numFmtId="165" formatCode="&quot;R$&quot;#,##0.00"/>
    </dxf>
    <dxf>
      <numFmt numFmtId="166" formatCode="&quot;R$&quot;\ #,##0.00"/>
      <alignment horizontal="center"/>
    </dxf>
    <dxf>
      <alignment horizontal="center" vertical="center"/>
    </dxf>
    <dxf>
      <alignment horizontal="center" vertical="center" wrapText="1"/>
    </dxf>
    <dxf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alignment horizontal="left" vertical="center"/>
    </dxf>
    <dxf>
      <alignment horizontal="center" vertical="center"/>
    </dxf>
    <dxf>
      <alignment horizontal="left" vertical="center" wrapText="1"/>
    </dxf>
    <dxf>
      <alignment horizontal="left" vertical="center" wrapText="1"/>
    </dxf>
    <dxf>
      <alignment horizontal="left" vertical="center" wrapText="1"/>
    </dxf>
    <dxf>
      <alignment horizontal="center" vertical="center"/>
    </dxf>
    <dxf>
      <alignment horizontal="left" vertical="center" wrapText="1"/>
    </dxf>
    <dxf>
      <alignment horizontal="center" vertical="center" wrapText="1"/>
    </dxf>
    <dxf>
      <alignment horizontal="left" vertical="center"/>
    </dxf>
    <dxf>
      <alignment horizontal="center" vertical="center"/>
    </dxf>
    <dxf>
      <numFmt numFmtId="14" formatCode="0.00%"/>
    </dxf>
    <dxf>
      <numFmt numFmtId="166" formatCode="&quot;R$&quot;\ #,##0.00"/>
      <alignment horizontal="center"/>
    </dxf>
    <dxf>
      <numFmt numFmtId="14" formatCode="0.00%"/>
    </dxf>
    <dxf>
      <numFmt numFmtId="166" formatCode="&quot;R$&quot;\ #,##0.00"/>
      <alignment horizontal="center" vertical="center"/>
    </dxf>
    <dxf>
      <fill>
        <patternFill patternType="solid">
          <bgColor theme="5" tint="0.39991454817346722"/>
        </patternFill>
      </fill>
    </dxf>
    <dxf>
      <numFmt numFmtId="166" formatCode="&quot;R$&quot;\ #,##0.00"/>
      <alignment horizontal="center" vertic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numFmt numFmtId="14" formatCode="0.00%"/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4" formatCode="0.00%"/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5" formatCode="&quot;R$&quot;#,##0.00"/>
    </dxf>
    <dxf>
      <numFmt numFmtId="166" formatCode="&quot;R$&quot;\ #,##0.00"/>
      <alignment horizontal="center"/>
    </dxf>
    <dxf>
      <alignment horizontal="center" vertical="center"/>
    </dxf>
    <dxf>
      <alignment horizontal="center" vertical="center" wrapText="1"/>
    </dxf>
    <dxf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center" wrapText="1"/>
    </dxf>
    <dxf>
      <alignment horizontal="left" vertical="center"/>
    </dxf>
    <dxf>
      <alignment horizontal="center" vertical="center"/>
    </dxf>
    <dxf>
      <alignment horizontal="left" vertical="center" wrapText="1"/>
    </dxf>
    <dxf>
      <alignment horizontal="left" vertical="center" wrapText="1"/>
    </dxf>
    <dxf>
      <alignment horizontal="left" vertical="center" wrapText="1"/>
    </dxf>
    <dxf>
      <alignment horizontal="center" vertical="center"/>
    </dxf>
    <dxf>
      <alignment horizontal="left" vertical="center" wrapText="1"/>
    </dxf>
    <dxf>
      <alignment horizontal="center" vertical="center" wrapText="1"/>
    </dxf>
    <dxf>
      <alignment horizontal="left" vertical="center"/>
    </dxf>
    <dxf>
      <alignment horizontal="center" vertical="center"/>
    </dxf>
    <dxf>
      <numFmt numFmtId="14" formatCode="0.00%"/>
    </dxf>
    <dxf>
      <numFmt numFmtId="166" formatCode="&quot;R$&quot;\ #,##0.00"/>
      <alignment horizontal="center"/>
    </dxf>
    <dxf>
      <numFmt numFmtId="14" formatCode="0.00%"/>
    </dxf>
    <dxf>
      <numFmt numFmtId="166" formatCode="&quot;R$&quot;\ #,##0.00"/>
      <alignment horizontal="center" vertical="center"/>
    </dxf>
    <dxf>
      <fill>
        <patternFill patternType="solid">
          <bgColor theme="5" tint="0.39991454817346722"/>
        </patternFill>
      </fill>
    </dxf>
    <dxf>
      <numFmt numFmtId="166" formatCode="&quot;R$&quot;\ #,##0.00"/>
      <alignment horizontal="center" vertic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numFmt numFmtId="14" formatCode="0.00%"/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4" formatCode="0.00%"/>
      <alignment horizont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numFmt numFmtId="166" formatCode="&quot;R$&quot;\ #,##0.00"/>
      <alignment horizontal="center" vertical="center"/>
    </dxf>
    <dxf>
      <numFmt numFmtId="166" formatCode="&quot;R$&quot;\ #,##0.00"/>
      <alignment horizontal="center" vertical="center"/>
    </dxf>
    <dxf>
      <alignment horizontal="center"/>
    </dxf>
    <dxf>
      <numFmt numFmtId="166" formatCode="&quot;R$&quot;\ #,##0.00"/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alignment horizontal="center"/>
    </dxf>
    <dxf>
      <alignment horizontal="center"/>
    </dxf>
    <dxf>
      <numFmt numFmtId="166" formatCode="&quot;R$&quot;\ #,##0.00"/>
      <alignment horizontal="center" vertical="center"/>
    </dxf>
    <dxf>
      <alignment horizontal="center"/>
    </dxf>
    <dxf>
      <border>
        <vertical/>
        <horizontal style="thin">
          <color auto="1"/>
        </horizontal>
      </border>
    </dxf>
    <dxf>
      <border>
        <vertical/>
        <horizontal style="thin">
          <color auto="1"/>
        </horizontal>
      </border>
    </dxf>
  </dxfs>
  <tableStyles count="1" defaultTableStyle="TableStyleMedium2" defaultPivotStyle="PivotStyleLight16">
    <tableStyle name="Table Style 1" pivot="0" count="2">
      <tableStyleElement type="firstRowStripe" dxfId="231"/>
      <tableStyleElement type="firstHeaderCell" dxfId="23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tables/table1.xml><?xml version="1.0" encoding="utf-8"?>
<table xmlns="http://schemas.openxmlformats.org/spreadsheetml/2006/main" id="51" name="Table4252" displayName="Table4252" ref="A2:D7" totalsRowShown="0">
  <tableColumns count="4">
    <tableColumn id="1" name="Item" dataDxfId="229"/>
    <tableColumn id="2" name="Descrição" dataDxfId="228"/>
    <tableColumn id="3" name="Comentário" dataDxfId="227"/>
    <tableColumn id="4" name="Valor" dataDxfId="226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id="60" name="ResumoMódulo427" displayName="ResumoMódulo427" ref="A110:D113" totalsRowCount="1">
  <autoFilter ref="A110:D112">
    <filterColumn colId="0" hiddenButton="1"/>
    <filterColumn colId="1" hiddenButton="1"/>
    <filterColumn colId="2" hiddenButton="1"/>
    <filterColumn colId="3" hiddenButton="1"/>
  </autoFilter>
  <tableColumns count="4">
    <tableColumn id="1" name="4" totalsRowLabel="Total" dataDxfId="193"/>
    <tableColumn id="2" name="Custo de Reposição do Profissional Ausente" dataDxfId="192"/>
    <tableColumn id="3" name="Comentário" dataDxfId="191"/>
    <tableColumn id="4" name="Valor" totalsRowFunction="sum" dataDxfId="190">
      <calculatedColumnFormula>Submódulo4.226[[#Totals],[Valor]]</calculatedColumnFormula>
    </tableColumn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id="61" name="Módulo528" displayName="Módulo528" ref="A116:D121" totalsRowCount="1">
  <autoFilter ref="A116:D120">
    <filterColumn colId="0" hiddenButton="1"/>
    <filterColumn colId="1" hiddenButton="1"/>
    <filterColumn colId="2" hiddenButton="1"/>
    <filterColumn colId="3" hiddenButton="1"/>
  </autoFilter>
  <tableColumns count="4">
    <tableColumn id="1" name="5" totalsRowLabel="Total" dataDxfId="189"/>
    <tableColumn id="2" name="Insumos Diversos" dataDxfId="188"/>
    <tableColumn id="3" name="Comentário" dataDxfId="187"/>
    <tableColumn id="4" name="Valor" totalsRowFunction="sum" dataDxfId="186">
      <calculatedColumnFormula>#REF!</calculatedColumnFormula>
    </tableColumn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id="62" name="Módulo629" displayName="Módulo629" ref="A131:D138" totalsRowCount="1">
  <tableColumns count="4">
    <tableColumn id="1" name="6" totalsRowLabel="Total" dataDxfId="185"/>
    <tableColumn id="2" name="Custos Indiretos, Tributos e Lucro" dataDxfId="184"/>
    <tableColumn id="3" name="Percentual" dataDxfId="183">
      <calculatedColumnFormula>G15</calculatedColumnFormula>
    </tableColumn>
    <tableColumn id="4" name="Valor" totalsRowFunction="custom">
      <calculatedColumnFormula>SUM(D132:D134)</calculatedColumnFormula>
      <totalsRowFormula>SUM(D132:D134)</totalsRowFormula>
    </tableColumn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id="63" name="ResumoPosto30" displayName="ResumoPosto30" ref="A142:D150">
  <autoFilter ref="A142:D150">
    <filterColumn colId="0" hiddenButton="1"/>
    <filterColumn colId="1" hiddenButton="1"/>
    <filterColumn colId="2" hiddenButton="1"/>
    <filterColumn colId="3" hiddenButton="1"/>
  </autoFilter>
  <tableColumns count="4">
    <tableColumn id="1" name="Item" totalsRowLabel="Total" dataDxfId="182"/>
    <tableColumn id="2" name="Mão de obra vinculada à execução contratual" dataDxfId="181"/>
    <tableColumn id="3" name="-" dataDxfId="180"/>
    <tableColumn id="4" name="Valor" totalsRowFunction="sum" dataDxfId="179">
      <calculatedColumnFormula>(SUM(D136:D140)+D125+D126)/(100%-C127)</calculatedColumnFormula>
    </tableColumn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id="64" name="DadosGerais31" displayName="DadosGerais31" ref="F2:G6" totalsRowShown="0">
  <autoFilter ref="F2:G6">
    <filterColumn colId="0" hiddenButton="1"/>
    <filterColumn colId="1" hiddenButton="1"/>
  </autoFilter>
  <tableColumns count="2">
    <tableColumn id="1" name="Descrição" dataDxfId="178"/>
    <tableColumn id="2" name="Valor" dataDxfId="177"/>
  </tableColumns>
  <tableStyleInfo name="TableStyleMedium14" showFirstColumn="0" showLastColumn="0" showRowStripes="1" showColumnStripes="0"/>
</table>
</file>

<file path=xl/tables/table15.xml><?xml version="1.0" encoding="utf-8"?>
<table xmlns="http://schemas.openxmlformats.org/spreadsheetml/2006/main" id="65" name="DadosDesligamento32" displayName="DadosDesligamento32" ref="F9:G12" totalsRowShown="0">
  <autoFilter ref="F9:G12">
    <filterColumn colId="0" hiddenButton="1"/>
    <filterColumn colId="1" hiddenButton="1"/>
  </autoFilter>
  <tableColumns count="2">
    <tableColumn id="1" name="Tipos" dataDxfId="176"/>
    <tableColumn id="2" name="Percentual" dataDxfId="175"/>
  </tableColumns>
  <tableStyleInfo name="TableStyleMedium14" showFirstColumn="0" showLastColumn="0" showRowStripes="1" showColumnStripes="0"/>
</table>
</file>

<file path=xl/tables/table16.xml><?xml version="1.0" encoding="utf-8"?>
<table xmlns="http://schemas.openxmlformats.org/spreadsheetml/2006/main" id="66" name="CITL33" displayName="CITL33" ref="F15:G20" totalsRowShown="0">
  <autoFilter ref="F15:G20">
    <filterColumn colId="0" hiddenButton="1"/>
    <filterColumn colId="1" hiddenButton="1"/>
  </autoFilter>
  <tableColumns count="2">
    <tableColumn id="1" name="Descrição" dataDxfId="174"/>
    <tableColumn id="2" name="Percentual" dataDxfId="173"/>
  </tableColumns>
  <tableStyleInfo name="TableStyleMedium14" showFirstColumn="0" showLastColumn="0" showRowStripes="1" showColumnStripes="0"/>
</table>
</file>

<file path=xl/tables/table17.xml><?xml version="1.0" encoding="utf-8"?>
<table xmlns="http://schemas.openxmlformats.org/spreadsheetml/2006/main" id="67" name="Table868" displayName="Table868" ref="A27:D29" totalsRowShown="0">
  <autoFilter ref="A27:D29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172"/>
    <tableColumn id="2" name="Rubrica" dataDxfId="171"/>
    <tableColumn id="3" name="Base de Cálculo" dataDxfId="170"/>
    <tableColumn id="4" name="Memória de Cálculo" dataDxfId="169"/>
  </tableColumns>
  <tableStyleInfo name="TableStyleLight18" showFirstColumn="0" showLastColumn="0" showRowStripes="1" showColumnStripes="0"/>
</table>
</file>

<file path=xl/tables/table18.xml><?xml version="1.0" encoding="utf-8"?>
<table xmlns="http://schemas.openxmlformats.org/spreadsheetml/2006/main" id="68" name="Table83969" displayName="Table83969" ref="A44:D45" totalsRowShown="0">
  <autoFilter ref="A44:D45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168"/>
    <tableColumn id="2" name="Rubrica" dataDxfId="167"/>
    <tableColumn id="3" name="Base de Cálculo" dataDxfId="166"/>
    <tableColumn id="4" name="Memória de Cálculo" dataDxfId="165"/>
  </tableColumns>
  <tableStyleInfo name="TableStyleLight18" showFirstColumn="0" showLastColumn="0" showRowStripes="1" showColumnStripes="0"/>
</table>
</file>

<file path=xl/tables/table19.xml><?xml version="1.0" encoding="utf-8"?>
<table xmlns="http://schemas.openxmlformats.org/spreadsheetml/2006/main" id="69" name="Table84270" displayName="Table84270" ref="A57:D59" totalsRowShown="0">
  <autoFilter ref="A57:D59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164"/>
    <tableColumn id="2" name="Rubrica" dataDxfId="163"/>
    <tableColumn id="3" name="Base de Cálculo" dataDxfId="162"/>
    <tableColumn id="4" name="Memória de Cálculo" dataDxfId="161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52" name="Módulo13" displayName="Módulo13" ref="A10:D17" totalsRowCount="1">
  <autoFilter ref="A10:D16">
    <filterColumn colId="0" hiddenButton="1"/>
    <filterColumn colId="1" hiddenButton="1"/>
    <filterColumn colId="2" hiddenButton="1"/>
    <filterColumn colId="3" hiddenButton="1"/>
  </autoFilter>
  <tableColumns count="4">
    <tableColumn id="1" name="1" totalsRowLabel="Total" dataDxfId="225"/>
    <tableColumn id="2" name="Composição da Remuneração" dataDxfId="224"/>
    <tableColumn id="3" name="Comentário" dataDxfId="223"/>
    <tableColumn id="4" name="Valor" totalsRowFunction="sum" dataDxfId="222"/>
  </tableColumns>
  <tableStyleInfo name="TableStyleMedium14" showFirstColumn="0" showLastColumn="0" showRowStripes="1" showColumnStripes="0"/>
</table>
</file>

<file path=xl/tables/table20.xml><?xml version="1.0" encoding="utf-8"?>
<table xmlns="http://schemas.openxmlformats.org/spreadsheetml/2006/main" id="70" name="Table8423771" displayName="Table8423771" ref="A79:D85" totalsRowShown="0">
  <autoFilter ref="A79:D85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160"/>
    <tableColumn id="2" name="Rubrica" dataDxfId="159"/>
    <tableColumn id="3" name="Base de Cálculo" dataDxfId="158"/>
    <tableColumn id="4" name="Memória de Cálculo" dataDxfId="157"/>
  </tableColumns>
  <tableStyleInfo name="TableStyleLight18" showFirstColumn="0" showLastColumn="0" showRowStripes="1" showColumnStripes="0"/>
</table>
</file>

<file path=xl/tables/table21.xml><?xml version="1.0" encoding="utf-8"?>
<table xmlns="http://schemas.openxmlformats.org/spreadsheetml/2006/main" id="71" name="Table8423872" displayName="Table8423872" ref="A99:D102" totalsRowShown="0">
  <autoFilter ref="A99:D102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156"/>
    <tableColumn id="2" name="Rubrica" dataDxfId="155"/>
    <tableColumn id="3" name="Base de Cálculo" dataDxfId="154"/>
    <tableColumn id="4" name="Memória de Cálculo" dataDxfId="153"/>
  </tableColumns>
  <tableStyleInfo name="TableStyleLight18" showFirstColumn="0" showLastColumn="0" showRowStripes="1" showColumnStripes="0"/>
</table>
</file>

<file path=xl/tables/table22.xml><?xml version="1.0" encoding="utf-8"?>
<table xmlns="http://schemas.openxmlformats.org/spreadsheetml/2006/main" id="72" name="Table842385173" displayName="Table842385173" ref="A124:D128" totalsRowShown="0">
  <autoFilter ref="A124:D128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152"/>
    <tableColumn id="2" name="Rubrica" dataDxfId="151"/>
    <tableColumn id="3" name="Base de Cálculo" dataDxfId="150"/>
    <tableColumn id="4" name="Memória de Cálculo" dataDxfId="149"/>
  </tableColumns>
  <tableStyleInfo name="TableStyleLight18" showFirstColumn="0" showLastColumn="0" showRowStripes="1" showColumnStripes="0"/>
</table>
</file>

<file path=xl/tables/table23.xml><?xml version="1.0" encoding="utf-8"?>
<table xmlns="http://schemas.openxmlformats.org/spreadsheetml/2006/main" id="76" name="Tabela6" displayName="Tabela6" ref="F23:G25" totalsRowShown="0">
  <autoFilter ref="F23:G25">
    <filterColumn colId="0" hiddenButton="1"/>
    <filterColumn colId="1" hiddenButton="1"/>
  </autoFilter>
  <tableColumns count="2">
    <tableColumn id="1" name="Descrição" dataDxfId="148"/>
    <tableColumn id="2" name="Valor" dataDxfId="147">
      <calculatedColumnFormula>((D16*(1+(1/3))*(100%+C40))/12)/30</calculatedColumnFormula>
    </tableColumn>
  </tableColumns>
  <tableStyleInfo name="TableStyleMedium14" showFirstColumn="0" showLastColumn="0" showRowStripes="1" showColumnStripes="0"/>
</table>
</file>

<file path=xl/tables/table24.xml><?xml version="1.0" encoding="utf-8"?>
<table xmlns="http://schemas.openxmlformats.org/spreadsheetml/2006/main" id="77" name="Table425278" displayName="Table425278" ref="A2:D7" totalsRowShown="0">
  <tableColumns count="4">
    <tableColumn id="1" name="Item" dataDxfId="146"/>
    <tableColumn id="2" name="Descrição" dataDxfId="145"/>
    <tableColumn id="3" name="Comentário" dataDxfId="144"/>
    <tableColumn id="4" name="Valor" dataDxfId="143"/>
  </tableColumns>
  <tableStyleInfo name="TableStyleMedium14" showFirstColumn="0" showLastColumn="0" showRowStripes="1" showColumnStripes="0"/>
</table>
</file>

<file path=xl/tables/table25.xml><?xml version="1.0" encoding="utf-8"?>
<table xmlns="http://schemas.openxmlformats.org/spreadsheetml/2006/main" id="78" name="Módulo1379" displayName="Módulo1379" ref="A10:D17" totalsRowCount="1">
  <autoFilter ref="A10:D16">
    <filterColumn colId="0" hiddenButton="1"/>
    <filterColumn colId="1" hiddenButton="1"/>
    <filterColumn colId="2" hiddenButton="1"/>
    <filterColumn colId="3" hiddenButton="1"/>
  </autoFilter>
  <tableColumns count="4">
    <tableColumn id="1" name="1" totalsRowLabel="Total" dataDxfId="142"/>
    <tableColumn id="2" name="Composição da Remuneração" dataDxfId="141"/>
    <tableColumn id="3" name="Comentário" dataDxfId="140"/>
    <tableColumn id="4" name="Valor" totalsRowFunction="sum" dataDxfId="139"/>
  </tableColumns>
  <tableStyleInfo name="TableStyleMedium14" showFirstColumn="0" showLastColumn="0" showRowStripes="1" showColumnStripes="0"/>
</table>
</file>

<file path=xl/tables/table26.xml><?xml version="1.0" encoding="utf-8"?>
<table xmlns="http://schemas.openxmlformats.org/spreadsheetml/2006/main" id="79" name="Submódulo2.1480" displayName="Submódulo2.1480" ref="A21:D24" totalsRowCount="1">
  <autoFilter ref="A21:D23">
    <filterColumn colId="0" hiddenButton="1"/>
    <filterColumn colId="1" hiddenButton="1"/>
    <filterColumn colId="2" hiddenButton="1"/>
    <filterColumn colId="3" hiddenButton="1"/>
  </autoFilter>
  <tableColumns count="4">
    <tableColumn id="1" name="2.1" totalsRowLabel="Total" dataDxfId="138"/>
    <tableColumn id="2" name="13º (décimo terceiro) Salário e Adicional de Férias" dataDxfId="137"/>
    <tableColumn id="3" name="Comentário" dataDxfId="136"/>
    <tableColumn id="4" name="Valor" totalsRowFunction="sum" dataDxfId="135">
      <calculatedColumnFormula>(Módulo1379[[#Totals],[Valor]]/12)*(1/3)</calculatedColumnFormula>
    </tableColumn>
  </tableColumns>
  <tableStyleInfo name="TableStyleMedium14" showFirstColumn="0" showLastColumn="0" showRowStripes="1" showColumnStripes="0"/>
</table>
</file>

<file path=xl/tables/table27.xml><?xml version="1.0" encoding="utf-8"?>
<table xmlns="http://schemas.openxmlformats.org/spreadsheetml/2006/main" id="80" name="Submódulo2.2681" displayName="Submódulo2.2681" ref="A32:D41" totalsRowCount="1">
  <autoFilter ref="A32:D40">
    <filterColumn colId="0" hiddenButton="1"/>
    <filterColumn colId="1" hiddenButton="1"/>
    <filterColumn colId="2" hiddenButton="1"/>
    <filterColumn colId="3" hiddenButton="1"/>
  </autoFilter>
  <tableColumns count="4">
    <tableColumn id="1" name="2.2" totalsRowLabel="Total" dataDxfId="134"/>
    <tableColumn id="2" name="GPS, FGTS e outras contribuições" dataDxfId="133"/>
    <tableColumn id="3" name="Percentual" totalsRowFunction="sum" dataDxfId="132"/>
    <tableColumn id="4" name="Valor " totalsRowFunction="sum" dataDxfId="131">
      <calculatedColumnFormula>C33*(Módulo1379[[#Totals],[Valor]]+Submódulo2.1480[[#Totals],[Valor]])</calculatedColumnFormula>
    </tableColumn>
  </tableColumns>
  <tableStyleInfo name="TableStyleMedium14" showFirstColumn="0" showLastColumn="0" showRowStripes="1" showColumnStripes="0"/>
</table>
</file>

<file path=xl/tables/table28.xml><?xml version="1.0" encoding="utf-8"?>
<table xmlns="http://schemas.openxmlformats.org/spreadsheetml/2006/main" id="81" name="Submódulo2.3882" displayName="Submódulo2.3882" ref="A48:D54" totalsRowCount="1">
  <autoFilter ref="A48:D53">
    <filterColumn colId="0" hiddenButton="1"/>
    <filterColumn colId="1" hiddenButton="1"/>
    <filterColumn colId="2" hiddenButton="1"/>
    <filterColumn colId="3" hiddenButton="1"/>
  </autoFilter>
  <tableColumns count="4">
    <tableColumn id="1" name="2.3" totalsRowLabel="Total" dataDxfId="130"/>
    <tableColumn id="2" name="Benefícios Mensais e Diários" dataDxfId="129"/>
    <tableColumn id="3" name="Comentário" dataDxfId="128"/>
    <tableColumn id="4" name="Valor" totalsRowFunction="sum" dataDxfId="127"/>
  </tableColumns>
  <tableStyleInfo name="TableStyleMedium14" showFirstColumn="0" showLastColumn="0" showRowStripes="1" showColumnStripes="0"/>
</table>
</file>

<file path=xl/tables/table29.xml><?xml version="1.0" encoding="utf-8"?>
<table xmlns="http://schemas.openxmlformats.org/spreadsheetml/2006/main" id="82" name="ResumoMódulo2983" displayName="ResumoMódulo2983" ref="A62:D66" totalsRowCount="1">
  <autoFilter ref="A62:D65">
    <filterColumn colId="0" hiddenButton="1"/>
    <filterColumn colId="1" hiddenButton="1"/>
    <filterColumn colId="2" hiddenButton="1"/>
    <filterColumn colId="3" hiddenButton="1"/>
  </autoFilter>
  <tableColumns count="4">
    <tableColumn id="1" name="2" totalsRowLabel="Total" dataDxfId="126"/>
    <tableColumn id="2" name="Encargos e Benefícios Anuais, Mensais e Diários" dataDxfId="125"/>
    <tableColumn id="3" name="Comentário" dataDxfId="124"/>
    <tableColumn id="4" name="Valor" totalsRowFunction="sum" dataDxfId="123">
      <calculatedColumnFormula>Submódulo2.3882[[#Totals],[Valor]]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53" name="Submódulo2.14" displayName="Submódulo2.14" ref="A21:D24" totalsRowCount="1">
  <autoFilter ref="A21:D23">
    <filterColumn colId="0" hiddenButton="1"/>
    <filterColumn colId="1" hiddenButton="1"/>
    <filterColumn colId="2" hiddenButton="1"/>
    <filterColumn colId="3" hiddenButton="1"/>
  </autoFilter>
  <tableColumns count="4">
    <tableColumn id="1" name="2.1" totalsRowLabel="Total" dataDxfId="221"/>
    <tableColumn id="2" name="13º (décimo terceiro) Salário e Adicional de Férias" dataDxfId="220"/>
    <tableColumn id="3" name="Comentário" dataDxfId="219"/>
    <tableColumn id="4" name="Valor" totalsRowFunction="sum" dataDxfId="218">
      <calculatedColumnFormula>(Módulo13[[#Totals],[Valor]]/12)*(1/3)</calculatedColumnFormula>
    </tableColumn>
  </tableColumns>
  <tableStyleInfo name="TableStyleMedium14" showFirstColumn="0" showLastColumn="0" showRowStripes="1" showColumnStripes="0"/>
</table>
</file>

<file path=xl/tables/table30.xml><?xml version="1.0" encoding="utf-8"?>
<table xmlns="http://schemas.openxmlformats.org/spreadsheetml/2006/main" id="83" name="Módulo32484" displayName="Módulo32484" ref="A69:D76" totalsRowCount="1">
  <autoFilter ref="A69:D75">
    <filterColumn colId="0" hiddenButton="1"/>
    <filterColumn colId="1" hiddenButton="1"/>
    <filterColumn colId="2" hiddenButton="1"/>
    <filterColumn colId="3" hiddenButton="1"/>
  </autoFilter>
  <tableColumns count="4">
    <tableColumn id="1" name="3" totalsRowLabel="Total" dataDxfId="122"/>
    <tableColumn id="2" name="Provisão para Rescisão" dataDxfId="121"/>
    <tableColumn id="3" name="Comentário" dataDxfId="120"/>
    <tableColumn id="4" name="Valor" totalsRowFunction="sum" dataDxfId="119">
      <calculatedColumnFormula>-D58*Encarregado!G7</calculatedColumnFormula>
    </tableColumn>
  </tableColumns>
  <tableStyleInfo name="TableStyleMedium14" showFirstColumn="0" showLastColumn="0" showRowStripes="1" showColumnStripes="0"/>
</table>
</file>

<file path=xl/tables/table31.xml><?xml version="1.0" encoding="utf-8"?>
<table xmlns="http://schemas.openxmlformats.org/spreadsheetml/2006/main" id="84" name="Submódulo4.12585" displayName="Submódulo4.12585" ref="A89:D96" totalsRowCount="1">
  <autoFilter ref="A89:D95">
    <filterColumn colId="0" hiddenButton="1"/>
    <filterColumn colId="1" hiddenButton="1"/>
    <filterColumn colId="2" hiddenButton="1"/>
    <filterColumn colId="3" hiddenButton="1"/>
  </autoFilter>
  <tableColumns count="4">
    <tableColumn id="1" name="4.1" totalsRowLabel="Total" dataDxfId="118"/>
    <tableColumn id="2" name="Substituto nas Ausências Legais" dataDxfId="117"/>
    <tableColumn id="3" name="Dias de ausência" totalsRowFunction="sum" dataDxfId="116"/>
    <tableColumn id="4" name="Valor" totalsRowFunction="sum" dataDxfId="115">
      <calculatedColumnFormula>(C90*G$24)/12</calculatedColumnFormula>
    </tableColumn>
  </tableColumns>
  <tableStyleInfo name="TableStyleMedium14" showFirstColumn="0" showLastColumn="0" showRowStripes="1" showColumnStripes="0"/>
</table>
</file>

<file path=xl/tables/table32.xml><?xml version="1.0" encoding="utf-8"?>
<table xmlns="http://schemas.openxmlformats.org/spreadsheetml/2006/main" id="85" name="Submódulo4.22686" displayName="Submódulo4.22686" ref="A105:D107" totalsRowCount="1">
  <autoFilter ref="A105:D106">
    <filterColumn colId="0" hiddenButton="1"/>
    <filterColumn colId="1" hiddenButton="1"/>
    <filterColumn colId="2" hiddenButton="1"/>
    <filterColumn colId="3" hiddenButton="1"/>
  </autoFilter>
  <tableColumns count="4">
    <tableColumn id="1" name="4.2" totalsRowLabel="Total" dataDxfId="114"/>
    <tableColumn id="2" name="Substituto na Intrajornada " dataDxfId="113"/>
    <tableColumn id="3" name="Comentário" dataDxfId="112"/>
    <tableColumn id="4" name="Valor" totalsRowFunction="sum" dataDxfId="111"/>
  </tableColumns>
  <tableStyleInfo name="TableStyleMedium14" showFirstColumn="0" showLastColumn="0" showRowStripes="1" showColumnStripes="0"/>
</table>
</file>

<file path=xl/tables/table33.xml><?xml version="1.0" encoding="utf-8"?>
<table xmlns="http://schemas.openxmlformats.org/spreadsheetml/2006/main" id="86" name="ResumoMódulo42787" displayName="ResumoMódulo42787" ref="A110:D113" totalsRowCount="1">
  <autoFilter ref="A110:D112">
    <filterColumn colId="0" hiddenButton="1"/>
    <filterColumn colId="1" hiddenButton="1"/>
    <filterColumn colId="2" hiddenButton="1"/>
    <filterColumn colId="3" hiddenButton="1"/>
  </autoFilter>
  <tableColumns count="4">
    <tableColumn id="1" name="4" totalsRowLabel="Total" dataDxfId="110"/>
    <tableColumn id="2" name="Custo de Reposição do Profissional Ausente" dataDxfId="109"/>
    <tableColumn id="3" name="Comentário" dataDxfId="108"/>
    <tableColumn id="4" name="Valor" totalsRowFunction="sum" dataDxfId="107">
      <calculatedColumnFormula>Submódulo4.22686[[#Totals],[Valor]]</calculatedColumnFormula>
    </tableColumn>
  </tableColumns>
  <tableStyleInfo name="TableStyleMedium14" showFirstColumn="0" showLastColumn="0" showRowStripes="1" showColumnStripes="0"/>
</table>
</file>

<file path=xl/tables/table34.xml><?xml version="1.0" encoding="utf-8"?>
<table xmlns="http://schemas.openxmlformats.org/spreadsheetml/2006/main" id="87" name="Módulo52888" displayName="Módulo52888" ref="A116:D121" totalsRowCount="1">
  <autoFilter ref="A116:D120">
    <filterColumn colId="0" hiddenButton="1"/>
    <filterColumn colId="1" hiddenButton="1"/>
    <filterColumn colId="2" hiddenButton="1"/>
    <filterColumn colId="3" hiddenButton="1"/>
  </autoFilter>
  <tableColumns count="4">
    <tableColumn id="1" name="5" totalsRowLabel="Total" dataDxfId="106"/>
    <tableColumn id="2" name="Insumos Diversos" dataDxfId="105"/>
    <tableColumn id="3" name="Comentário" dataDxfId="104"/>
    <tableColumn id="4" name="Valor" totalsRowFunction="sum" dataDxfId="103"/>
  </tableColumns>
  <tableStyleInfo name="TableStyleMedium14" showFirstColumn="0" showLastColumn="0" showRowStripes="1" showColumnStripes="0"/>
</table>
</file>

<file path=xl/tables/table35.xml><?xml version="1.0" encoding="utf-8"?>
<table xmlns="http://schemas.openxmlformats.org/spreadsheetml/2006/main" id="88" name="Módulo62989" displayName="Módulo62989" ref="A131:D138" totalsRowCount="1">
  <tableColumns count="4">
    <tableColumn id="1" name="6" totalsRowLabel="Total" dataDxfId="102"/>
    <tableColumn id="2" name="Custos Indiretos, Tributos e Lucro" dataDxfId="101"/>
    <tableColumn id="3" name="Percentual" dataDxfId="100">
      <calculatedColumnFormula>G15</calculatedColumnFormula>
    </tableColumn>
    <tableColumn id="4" name="Valor" totalsRowFunction="custom">
      <calculatedColumnFormula>SUM(D132:D134)</calculatedColumnFormula>
      <totalsRowFormula>SUM(D132:D134)</totalsRowFormula>
    </tableColumn>
  </tableColumns>
  <tableStyleInfo name="TableStyleMedium14" showFirstColumn="0" showLastColumn="0" showRowStripes="1" showColumnStripes="0"/>
</table>
</file>

<file path=xl/tables/table36.xml><?xml version="1.0" encoding="utf-8"?>
<table xmlns="http://schemas.openxmlformats.org/spreadsheetml/2006/main" id="89" name="ResumoPosto3090" displayName="ResumoPosto3090" ref="A142:D150">
  <autoFilter ref="A142:D150">
    <filterColumn colId="0" hiddenButton="1"/>
    <filterColumn colId="1" hiddenButton="1"/>
    <filterColumn colId="2" hiddenButton="1"/>
    <filterColumn colId="3" hiddenButton="1"/>
  </autoFilter>
  <tableColumns count="4">
    <tableColumn id="1" name="Item" totalsRowLabel="Total" dataDxfId="99"/>
    <tableColumn id="2" name="Mão de obra vinculada à execução contratual" dataDxfId="98"/>
    <tableColumn id="3" name="-" dataDxfId="97"/>
    <tableColumn id="4" name="Valor" totalsRowFunction="sum" dataDxfId="96">
      <calculatedColumnFormula>(SUM(D136:D140)+D125+D126)/(100%-C127)</calculatedColumnFormula>
    </tableColumn>
  </tableColumns>
  <tableStyleInfo name="TableStyleMedium14" showFirstColumn="0" showLastColumn="0" showRowStripes="1" showColumnStripes="0"/>
</table>
</file>

<file path=xl/tables/table37.xml><?xml version="1.0" encoding="utf-8"?>
<table xmlns="http://schemas.openxmlformats.org/spreadsheetml/2006/main" id="90" name="DadosGerais3191" displayName="DadosGerais3191" ref="F2:G6" totalsRowShown="0">
  <autoFilter ref="F2:G6">
    <filterColumn colId="0" hiddenButton="1"/>
    <filterColumn colId="1" hiddenButton="1"/>
  </autoFilter>
  <tableColumns count="2">
    <tableColumn id="1" name="Descrição" dataDxfId="95"/>
    <tableColumn id="2" name="Valor" dataDxfId="94"/>
  </tableColumns>
  <tableStyleInfo name="TableStyleMedium14" showFirstColumn="0" showLastColumn="0" showRowStripes="1" showColumnStripes="0"/>
</table>
</file>

<file path=xl/tables/table38.xml><?xml version="1.0" encoding="utf-8"?>
<table xmlns="http://schemas.openxmlformats.org/spreadsheetml/2006/main" id="91" name="DadosDesligamento3292" displayName="DadosDesligamento3292" ref="F9:G12" totalsRowShown="0">
  <autoFilter ref="F9:G12">
    <filterColumn colId="0" hiddenButton="1"/>
    <filterColumn colId="1" hiddenButton="1"/>
  </autoFilter>
  <tableColumns count="2">
    <tableColumn id="1" name="Tipos" dataDxfId="93"/>
    <tableColumn id="2" name="Percentual" dataDxfId="92"/>
  </tableColumns>
  <tableStyleInfo name="TableStyleMedium14" showFirstColumn="0" showLastColumn="0" showRowStripes="1" showColumnStripes="0"/>
</table>
</file>

<file path=xl/tables/table39.xml><?xml version="1.0" encoding="utf-8"?>
<table xmlns="http://schemas.openxmlformats.org/spreadsheetml/2006/main" id="92" name="CITL3393" displayName="CITL3393" ref="F15:G20" totalsRowShown="0">
  <autoFilter ref="F15:G20">
    <filterColumn colId="0" hiddenButton="1"/>
    <filterColumn colId="1" hiddenButton="1"/>
  </autoFilter>
  <tableColumns count="2">
    <tableColumn id="1" name="Descrição" dataDxfId="91"/>
    <tableColumn id="2" name="Percentual" dataDxfId="90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54" name="Submódulo2.26" displayName="Submódulo2.26" ref="A32:D41" totalsRowCount="1">
  <autoFilter ref="A32:D40">
    <filterColumn colId="0" hiddenButton="1"/>
    <filterColumn colId="1" hiddenButton="1"/>
    <filterColumn colId="2" hiddenButton="1"/>
    <filterColumn colId="3" hiddenButton="1"/>
  </autoFilter>
  <tableColumns count="4">
    <tableColumn id="1" name="2.2" totalsRowLabel="Total" dataDxfId="217"/>
    <tableColumn id="2" name="GPS, FGTS e outras contribuições" dataDxfId="216"/>
    <tableColumn id="3" name="Percentual" totalsRowFunction="sum" dataDxfId="215"/>
    <tableColumn id="4" name="Valor " totalsRowFunction="sum" dataDxfId="214">
      <calculatedColumnFormula>C33*(Módulo13[[#Totals],[Valor]]+Submódulo2.14[[#Totals],[Valor]])</calculatedColumnFormula>
    </tableColumn>
  </tableColumns>
  <tableStyleInfo name="TableStyleMedium14" showFirstColumn="0" showLastColumn="0" showRowStripes="1" showColumnStripes="0"/>
</table>
</file>

<file path=xl/tables/table40.xml><?xml version="1.0" encoding="utf-8"?>
<table xmlns="http://schemas.openxmlformats.org/spreadsheetml/2006/main" id="93" name="Table86894" displayName="Table86894" ref="A27:D29" totalsRowShown="0">
  <autoFilter ref="A27:D29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89"/>
    <tableColumn id="2" name="Rubrica" dataDxfId="88"/>
    <tableColumn id="3" name="Base de Cálculo" dataDxfId="87"/>
    <tableColumn id="4" name="Memória de Cálculo" dataDxfId="86"/>
  </tableColumns>
  <tableStyleInfo name="TableStyleLight18" showFirstColumn="0" showLastColumn="0" showRowStripes="1" showColumnStripes="0"/>
</table>
</file>

<file path=xl/tables/table41.xml><?xml version="1.0" encoding="utf-8"?>
<table xmlns="http://schemas.openxmlformats.org/spreadsheetml/2006/main" id="94" name="Table8396995" displayName="Table8396995" ref="A44:D45" totalsRowShown="0">
  <autoFilter ref="A44:D45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85"/>
    <tableColumn id="2" name="Rubrica" dataDxfId="84"/>
    <tableColumn id="3" name="Base de Cálculo" dataDxfId="83"/>
    <tableColumn id="4" name="Memória de Cálculo" dataDxfId="82"/>
  </tableColumns>
  <tableStyleInfo name="TableStyleLight18" showFirstColumn="0" showLastColumn="0" showRowStripes="1" showColumnStripes="0"/>
</table>
</file>

<file path=xl/tables/table42.xml><?xml version="1.0" encoding="utf-8"?>
<table xmlns="http://schemas.openxmlformats.org/spreadsheetml/2006/main" id="95" name="Table8427096" displayName="Table8427096" ref="A57:D59" totalsRowShown="0">
  <autoFilter ref="A57:D59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81"/>
    <tableColumn id="2" name="Rubrica" dataDxfId="80"/>
    <tableColumn id="3" name="Base de Cálculo" dataDxfId="79"/>
    <tableColumn id="4" name="Memória de Cálculo" dataDxfId="78"/>
  </tableColumns>
  <tableStyleInfo name="TableStyleLight18" showFirstColumn="0" showLastColumn="0" showRowStripes="1" showColumnStripes="0"/>
</table>
</file>

<file path=xl/tables/table43.xml><?xml version="1.0" encoding="utf-8"?>
<table xmlns="http://schemas.openxmlformats.org/spreadsheetml/2006/main" id="96" name="Table842377197" displayName="Table842377197" ref="A79:D85" totalsRowShown="0">
  <autoFilter ref="A79:D85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77"/>
    <tableColumn id="2" name="Rubrica" dataDxfId="76"/>
    <tableColumn id="3" name="Base de Cálculo" dataDxfId="75"/>
    <tableColumn id="4" name="Memória de Cálculo" dataDxfId="74"/>
  </tableColumns>
  <tableStyleInfo name="TableStyleLight18" showFirstColumn="0" showLastColumn="0" showRowStripes="1" showColumnStripes="0"/>
</table>
</file>

<file path=xl/tables/table44.xml><?xml version="1.0" encoding="utf-8"?>
<table xmlns="http://schemas.openxmlformats.org/spreadsheetml/2006/main" id="97" name="Table842387298" displayName="Table842387298" ref="A99:D102" totalsRowShown="0">
  <autoFilter ref="A99:D102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73"/>
    <tableColumn id="2" name="Rubrica" dataDxfId="72"/>
    <tableColumn id="3" name="Base de Cálculo" dataDxfId="71"/>
    <tableColumn id="4" name="Memória de Cálculo" dataDxfId="70"/>
  </tableColumns>
  <tableStyleInfo name="TableStyleLight18" showFirstColumn="0" showLastColumn="0" showRowStripes="1" showColumnStripes="0"/>
</table>
</file>

<file path=xl/tables/table45.xml><?xml version="1.0" encoding="utf-8"?>
<table xmlns="http://schemas.openxmlformats.org/spreadsheetml/2006/main" id="98" name="Table84238517399" displayName="Table84238517399" ref="A124:D128" totalsRowShown="0">
  <autoFilter ref="A124:D128">
    <filterColumn colId="0" hiddenButton="1"/>
    <filterColumn colId="1" hiddenButton="1"/>
    <filterColumn colId="2" hiddenButton="1"/>
    <filterColumn colId="3" hiddenButton="1"/>
  </autoFilter>
  <tableColumns count="4">
    <tableColumn id="1" name="Item" dataDxfId="69"/>
    <tableColumn id="2" name="Rubrica" dataDxfId="68"/>
    <tableColumn id="3" name="Base de Cálculo" dataDxfId="67"/>
    <tableColumn id="4" name="Memória de Cálculo" dataDxfId="66"/>
  </tableColumns>
  <tableStyleInfo name="TableStyleLight18" showFirstColumn="0" showLastColumn="0" showRowStripes="1" showColumnStripes="0"/>
</table>
</file>

<file path=xl/tables/table46.xml><?xml version="1.0" encoding="utf-8"?>
<table xmlns="http://schemas.openxmlformats.org/spreadsheetml/2006/main" id="99" name="Tabela6100" displayName="Tabela6100" ref="F23:G25" totalsRowShown="0">
  <autoFilter ref="F23:G25">
    <filterColumn colId="0" hiddenButton="1"/>
    <filterColumn colId="1" hiddenButton="1"/>
  </autoFilter>
  <tableColumns count="2">
    <tableColumn id="1" name="Descrição" dataDxfId="65"/>
    <tableColumn id="2" name="Valor" dataDxfId="64">
      <calculatedColumnFormula>((D16*(1+(1/3))*(100%+C40))/12)/30</calculatedColumnFormula>
    </tableColumn>
  </tableColumns>
  <tableStyleInfo name="TableStyleMedium14" showFirstColumn="0" showLastColumn="0" showRowStripes="1" showColumnStripes="0"/>
</table>
</file>

<file path=xl/tables/table47.xml><?xml version="1.0" encoding="utf-8"?>
<table xmlns="http://schemas.openxmlformats.org/spreadsheetml/2006/main" id="18" name="Módulo62915_341281511651219" displayName="Módulo62915_341281511651219" ref="A111:D118" totalsRowCount="1">
  <tableColumns count="4">
    <tableColumn id="1" name="6" totalsRowLabel="Total" dataDxfId="63" totalsRowDxfId="62"/>
    <tableColumn id="2" name="Custos Indiretos, Tributos e Lucro" dataDxfId="61"/>
    <tableColumn id="3" name="Percentual" dataDxfId="60" totalsRowDxfId="59"/>
    <tableColumn id="4" name="Valor" totalsRowFunction="custom" totalsRowDxfId="58">
      <calculatedColumnFormula>TRUNC(SUM(D112:D114),2)</calculatedColumnFormula>
      <totalsRowFormula>TRUNC(SUM(D112:D114),2)</totalsRowFormula>
    </tableColumn>
  </tableColumns>
  <tableStyleInfo name="TableStyleMedium14" showFirstColumn="0" showLastColumn="0" showRowStripes="1" showColumnStripes="0"/>
</table>
</file>

<file path=xl/tables/table48.xml><?xml version="1.0" encoding="utf-8"?>
<table xmlns="http://schemas.openxmlformats.org/spreadsheetml/2006/main" id="19" name="ResumoPosto3016_331271521641420" displayName="ResumoPosto3016_331271521641420" ref="A121:D129">
  <autoFilter ref="A121:D129"/>
  <tableColumns count="4">
    <tableColumn id="1" name="Item" totalsRowLabel="Total" dataDxfId="57"/>
    <tableColumn id="2" name="Mão de obra vinculada à execução contratual" dataDxfId="56"/>
    <tableColumn id="3" name="-" dataDxfId="55"/>
    <tableColumn id="4" name="Valor" totalsRowFunction="sum" dataDxfId="54">
      <calculatedColumnFormula>TRUNC((SUM(D115:D119)+D121),2)</calculatedColumnFormula>
    </tableColumn>
  </tableColumns>
  <tableStyleInfo name="TableStyleMedium14" showFirstColumn="0" showLastColumn="0" showRowStripes="1" showColumnStripes="0"/>
</table>
</file>

<file path=xl/tables/table49.xml><?xml version="1.0" encoding="utf-8"?>
<table xmlns="http://schemas.openxmlformats.org/spreadsheetml/2006/main" id="20" name="Table42522_50133145157921" displayName="Table42522_50133145157921" ref="A2:D7" totalsRowShown="0">
  <tableColumns count="4">
    <tableColumn id="1" name="Item" dataDxfId="53"/>
    <tableColumn id="2" name="Descrição" dataDxfId="52"/>
    <tableColumn id="3" name="Comentário" dataDxfId="51"/>
    <tableColumn id="4" name="Valor" dataDxfId="50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55" name="Submódulo2.38" displayName="Submódulo2.38" ref="A48:D54" totalsRowCount="1">
  <autoFilter ref="A48:D53">
    <filterColumn colId="0" hiddenButton="1"/>
    <filterColumn colId="1" hiddenButton="1"/>
    <filterColumn colId="2" hiddenButton="1"/>
    <filterColumn colId="3" hiddenButton="1"/>
  </autoFilter>
  <tableColumns count="4">
    <tableColumn id="1" name="2.3" totalsRowLabel="Total" dataDxfId="213"/>
    <tableColumn id="2" name="Benefícios Mensais e Diários" dataDxfId="212"/>
    <tableColumn id="3" name="Comentário" dataDxfId="211"/>
    <tableColumn id="4" name="Valor" totalsRowFunction="sum" dataDxfId="210"/>
  </tableColumns>
  <tableStyleInfo name="TableStyleMedium14" showFirstColumn="0" showLastColumn="0" showRowStripes="1" showColumnStripes="0"/>
</table>
</file>

<file path=xl/tables/table50.xml><?xml version="1.0" encoding="utf-8"?>
<table xmlns="http://schemas.openxmlformats.org/spreadsheetml/2006/main" id="21" name="Módulo52814_321261531671322" displayName="Módulo52814_321261531671322" ref="A96:D101" totalsRowCount="1">
  <autoFilter ref="A96:D100"/>
  <tableColumns count="4">
    <tableColumn id="1" name="5" totalsRowLabel="Total" dataDxfId="49" totalsRowDxfId="48"/>
    <tableColumn id="2" name="Insumos Diversos" dataDxfId="47"/>
    <tableColumn id="3" name="Comentário" dataDxfId="46"/>
    <tableColumn id="4" name="Valor" totalsRowFunction="custom" totalsRowDxfId="45">
      <totalsRowFormula>TRUNC(SUM(D97:D100),2)</totalsRowFormula>
    </tableColumn>
  </tableColumns>
  <tableStyleInfo name="TableStyleMedium14" showFirstColumn="0" showLastColumn="0" showRowStripes="1" showColumnStripes="0"/>
</table>
</file>

<file path=xl/tables/table51.xml><?xml version="1.0" encoding="utf-8"?>
<table xmlns="http://schemas.openxmlformats.org/spreadsheetml/2006/main" id="22" name="Submódulo4.22612_311291471581523" displayName="Submódulo4.22612_311291471581523" ref="A85:D87" totalsRowCount="1">
  <autoFilter ref="A85:D86"/>
  <tableColumns count="4">
    <tableColumn id="1" name="4.2" totalsRowLabel="Total" dataDxfId="44"/>
    <tableColumn id="2" name="Substituto na Intrajornada " dataDxfId="43"/>
    <tableColumn id="3" name="Comentário" dataDxfId="42"/>
    <tableColumn id="4" name="Valor" totalsRowFunction="sum" dataDxfId="41"/>
  </tableColumns>
  <tableStyleInfo name="TableStyleMedium14" showFirstColumn="0" showLastColumn="0" showRowStripes="1" showColumnStripes="0"/>
</table>
</file>

<file path=xl/tables/table52.xml><?xml version="1.0" encoding="utf-8"?>
<table xmlns="http://schemas.openxmlformats.org/spreadsheetml/2006/main" id="23" name="Submódulo2.267_75136149163424" displayName="Submódulo2.267_75136149163424" ref="A31:D40" totalsRowCount="1">
  <autoFilter ref="A31:D39"/>
  <tableColumns count="4">
    <tableColumn id="1" name="2.2" totalsRowLabel="Total" dataDxfId="40" totalsRowDxfId="39"/>
    <tableColumn id="2" name="GPS, FGTS e outras contribuições" dataDxfId="38"/>
    <tableColumn id="3" name="Percentual" totalsRowFunction="sum" dataDxfId="37" totalsRowDxfId="36"/>
    <tableColumn id="4" name="Valor " totalsRowFunction="custom" totalsRowDxfId="35">
      <calculatedColumnFormula>TRUNC(SUM(D32:D39),2)</calculatedColumnFormula>
      <totalsRowFormula>TRUNC(SUM(D32:D39),2)</totalsRowFormula>
    </tableColumn>
  </tableColumns>
  <tableStyleInfo name="TableStyleMedium14" showFirstColumn="0" showLastColumn="0" showRowStripes="1" showColumnStripes="0"/>
</table>
</file>

<file path=xl/tables/table53.xml><?xml version="1.0" encoding="utf-8"?>
<table xmlns="http://schemas.openxmlformats.org/spreadsheetml/2006/main" id="24" name="DadosGerais3117_35131150166625" displayName="DadosGerais3117_35131150166625" ref="F2:G7" totalsRowShown="0">
  <autoFilter ref="F2:G7"/>
  <tableColumns count="2">
    <tableColumn id="1" name="Descrição" dataDxfId="34"/>
    <tableColumn id="2" name="Valor" dataDxfId="33"/>
  </tableColumns>
  <tableStyleInfo name="TableStyleMedium14" showFirstColumn="0" showLastColumn="0" showRowStripes="1" showColumnStripes="0"/>
</table>
</file>

<file path=xl/tables/table54.xml><?xml version="1.0" encoding="utf-8"?>
<table xmlns="http://schemas.openxmlformats.org/spreadsheetml/2006/main" id="25" name="ResumoMódulo42713_30130148162726" displayName="ResumoMódulo42713_30130148162726" ref="A90:D93" totalsRowCount="1">
  <autoFilter ref="A90:D92"/>
  <tableColumns count="4">
    <tableColumn id="1" name="4" totalsRowLabel="Total" dataDxfId="32"/>
    <tableColumn id="2" name="Custo de Reposição do Profissional Ausente" dataDxfId="31"/>
    <tableColumn id="3" name="Comentário" dataDxfId="30"/>
    <tableColumn id="4" name="Valor" totalsRowFunction="custom">
      <calculatedColumnFormula>TRUNC(SUM(D91:D92),2)</calculatedColumnFormula>
      <totalsRowFormula>TRUNC(SUM(D91:D92),2)</totalsRowFormula>
    </tableColumn>
  </tableColumns>
  <tableStyleInfo name="TableStyleMedium14" showFirstColumn="0" showLastColumn="0" showRowStripes="1" showColumnStripes="0"/>
</table>
</file>

<file path=xl/tables/table55.xml><?xml version="1.0" encoding="utf-8"?>
<table xmlns="http://schemas.openxmlformats.org/spreadsheetml/2006/main" id="26" name="Submódulo2.388_76137142154227" displayName="Submódulo2.388_76137142154227" ref="A43:D49" totalsRowCount="1">
  <autoFilter ref="A43:D48"/>
  <tableColumns count="4">
    <tableColumn id="1" name="2.3" totalsRowLabel="Total" dataDxfId="29" totalsRowDxfId="28"/>
    <tableColumn id="2" name="Benefícios Mensais e Diários" dataDxfId="27"/>
    <tableColumn id="3" name="Comentário" dataDxfId="26"/>
    <tableColumn id="4" name="Valor" totalsRowFunction="custom" totalsRowDxfId="25">
      <totalsRowFormula>TRUNC(SUM(D44:D48),2)</totalsRowFormula>
    </tableColumn>
  </tableColumns>
  <tableStyleInfo name="TableStyleMedium14" showFirstColumn="0" showLastColumn="0" showRowStripes="1" showColumnStripes="0"/>
</table>
</file>

<file path=xl/tables/table56.xml><?xml version="1.0" encoding="utf-8"?>
<table xmlns="http://schemas.openxmlformats.org/spreadsheetml/2006/main" id="27" name="Módulo32410_102139140155328" displayName="Módulo32410_102139140155328" ref="A59:D66" totalsRowCount="1">
  <autoFilter ref="A59:D65"/>
  <tableColumns count="4">
    <tableColumn id="1" name="3" totalsRowLabel="Total" dataDxfId="24" totalsRowDxfId="23"/>
    <tableColumn id="2" name="Provisão para Rescisão" dataDxfId="22"/>
    <tableColumn id="3" name="Comentário" dataDxfId="21">
      <calculatedColumnFormula>(0.08*0.4*0.95)</calculatedColumnFormula>
    </tableColumn>
    <tableColumn id="4" name="Valor" totalsRowFunction="custom" totalsRowDxfId="20">
      <calculatedColumnFormula>TRUNC(SUM(D60:D65),2)</calculatedColumnFormula>
      <totalsRowFormula>TRUNC(SUM(D60:D65),2)</totalsRowFormula>
    </tableColumn>
  </tableColumns>
  <tableStyleInfo name="TableStyleMedium14" showFirstColumn="0" showLastColumn="0" showRowStripes="1" showColumnStripes="0"/>
</table>
</file>

<file path=xl/tables/table57.xml><?xml version="1.0" encoding="utf-8"?>
<table xmlns="http://schemas.openxmlformats.org/spreadsheetml/2006/main" id="28" name="Módulo135_51134146161529" displayName="Módulo135_51134146161529" ref="A10:D17" totalsRowCount="1">
  <autoFilter ref="A10:D16"/>
  <tableColumns count="4">
    <tableColumn id="1" name="1" totalsRowLabel="Total" dataDxfId="19" totalsRowDxfId="18"/>
    <tableColumn id="2" name="Composição da Remuneração" dataDxfId="17"/>
    <tableColumn id="3" name="Comentário" dataDxfId="16" totalsRowDxfId="15"/>
    <tableColumn id="4" name="Valor" totalsRowFunction="custom" totalsRowDxfId="14">
      <calculatedColumnFormula>D6*6%</calculatedColumnFormula>
      <totalsRowFormula>TRUNC(SUM(D11:D16),2)</totalsRowFormula>
    </tableColumn>
  </tableColumns>
  <tableStyleInfo name="TableStyleMedium14" showFirstColumn="0" showLastColumn="0" showRowStripes="1" showColumnStripes="0"/>
</table>
</file>

<file path=xl/tables/table58.xml><?xml version="1.0" encoding="utf-8"?>
<table xmlns="http://schemas.openxmlformats.org/spreadsheetml/2006/main" id="29" name="Submódulo2.146_741351431601130" displayName="Submódulo2.146_741351431601130" ref="A21:D24" totalsRowCount="1">
  <autoFilter ref="A21:D23"/>
  <tableColumns count="4">
    <tableColumn id="1" name="2.1" totalsRowLabel="Total" dataDxfId="13" totalsRowDxfId="12"/>
    <tableColumn id="2" name="13º (décimo terceiro) Salário e Adicional de Férias" dataDxfId="11"/>
    <tableColumn id="3" name="Comentário" dataDxfId="10">
      <calculatedColumnFormula>(((1+1/3)/12))</calculatedColumnFormula>
    </tableColumn>
    <tableColumn id="4" name="Valor" totalsRowFunction="custom" totalsRowDxfId="9">
      <calculatedColumnFormula>TRUNC(SUM(D22:D23),2)</calculatedColumnFormula>
      <totalsRowFormula>TRUNC(SUM(D22:D23),2)</totalsRowFormula>
    </tableColumn>
  </tableColumns>
  <tableStyleInfo name="TableStyleMedium14" showFirstColumn="0" showLastColumn="0" showRowStripes="1" showColumnStripes="0"/>
</table>
</file>

<file path=xl/tables/table59.xml><?xml version="1.0" encoding="utf-8"?>
<table xmlns="http://schemas.openxmlformats.org/spreadsheetml/2006/main" id="30" name="Submódulo4.12511_41321441591031" displayName="Submódulo4.12511_41321441591031" ref="A75:D82" totalsRowCount="1">
  <autoFilter ref="A75:D81"/>
  <tableColumns count="4">
    <tableColumn id="1" name="4.1" totalsRowLabel="Total" dataDxfId="8" totalsRowDxfId="7"/>
    <tableColumn id="2" name="Substituto nas Ausências Legais" dataDxfId="6"/>
    <tableColumn id="3" name="Dias de ausência" totalsRowFunction="sum" dataDxfId="5" totalsRowDxfId="4" dataCellStyle="Porcentagem"/>
    <tableColumn id="4" name="Valor" totalsRowFunction="custom" totalsRowDxfId="3">
      <calculatedColumnFormula>TRUNC(SUM(D76:D81),2)</calculatedColumnFormula>
      <totalsRowFormula>TRUNC(SUM(D76:D81),2)</totalsRow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56" name="ResumoMódulo29" displayName="ResumoMódulo29" ref="A62:D66" totalsRowCount="1">
  <autoFilter ref="A62:D65">
    <filterColumn colId="0" hiddenButton="1"/>
    <filterColumn colId="1" hiddenButton="1"/>
    <filterColumn colId="2" hiddenButton="1"/>
    <filterColumn colId="3" hiddenButton="1"/>
  </autoFilter>
  <tableColumns count="4">
    <tableColumn id="1" name="2" totalsRowLabel="Total" dataDxfId="209"/>
    <tableColumn id="2" name="Encargos e Benefícios Anuais, Mensais e Diários" dataDxfId="208"/>
    <tableColumn id="3" name="Comentário" dataDxfId="207"/>
    <tableColumn id="4" name="Valor" totalsRowFunction="sum" dataDxfId="206">
      <calculatedColumnFormula>Submódulo2.38[[#Totals],[Valor]]</calculatedColumnFormula>
    </tableColumn>
  </tableColumns>
  <tableStyleInfo name="TableStyleMedium14" showFirstColumn="0" showLastColumn="0" showRowStripes="1" showColumnStripes="0"/>
</table>
</file>

<file path=xl/tables/table60.xml><?xml version="1.0" encoding="utf-8"?>
<table xmlns="http://schemas.openxmlformats.org/spreadsheetml/2006/main" id="31" name="ResumoMódulo299_101138141156832" displayName="ResumoMódulo299_101138141156832" ref="A52:D56" totalsRowCount="1">
  <autoFilter ref="A52:D55"/>
  <tableColumns count="4">
    <tableColumn id="1" name="2" totalsRowLabel="Total" dataDxfId="2"/>
    <tableColumn id="2" name="Encargos e Benefícios Anuais, Mensais e Diários" dataDxfId="1"/>
    <tableColumn id="3" name="Comentário" dataDxfId="0"/>
    <tableColumn id="4" name="Valor" totalsRowFunction="custom">
      <calculatedColumnFormula>TRUNC(SUM(D53:D55),2)</calculatedColumnFormula>
      <totalsRowFormula>TRUNC(SUM(D53:D55),2)</totalsRow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57" name="Módulo324" displayName="Módulo324" ref="A69:D76" totalsRowCount="1">
  <autoFilter ref="A69:D75">
    <filterColumn colId="0" hiddenButton="1"/>
    <filterColumn colId="1" hiddenButton="1"/>
    <filterColumn colId="2" hiddenButton="1"/>
    <filterColumn colId="3" hiddenButton="1"/>
  </autoFilter>
  <tableColumns count="4">
    <tableColumn id="1" name="3" totalsRowLabel="Total" dataDxfId="205"/>
    <tableColumn id="2" name="Provisão para Rescisão" dataDxfId="204"/>
    <tableColumn id="3" name="Comentário" dataDxfId="203"/>
    <tableColumn id="4" name="Valor" totalsRowFunction="sum" dataDxfId="202">
      <calculatedColumnFormula>-D58*Servente!G7</calculatedColumn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58" name="Submódulo4.125" displayName="Submódulo4.125" ref="A89:D96" totalsRowCount="1">
  <autoFilter ref="A89:D95">
    <filterColumn colId="0" hiddenButton="1"/>
    <filterColumn colId="1" hiddenButton="1"/>
    <filterColumn colId="2" hiddenButton="1"/>
    <filterColumn colId="3" hiddenButton="1"/>
  </autoFilter>
  <tableColumns count="4">
    <tableColumn id="1" name="4.1" totalsRowLabel="Total" dataDxfId="201"/>
    <tableColumn id="2" name="Substituto nas Ausências Legais" dataDxfId="200"/>
    <tableColumn id="3" name="Dias de ausência" totalsRowFunction="sum" dataDxfId="199"/>
    <tableColumn id="4" name="Valor" totalsRowFunction="sum" dataDxfId="198">
      <calculatedColumnFormula>(C90*G$24)/12</calculatedColumn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id="59" name="Submódulo4.226" displayName="Submódulo4.226" ref="A105:D107" totalsRowCount="1">
  <autoFilter ref="A105:D106">
    <filterColumn colId="0" hiddenButton="1"/>
    <filterColumn colId="1" hiddenButton="1"/>
    <filterColumn colId="2" hiddenButton="1"/>
    <filterColumn colId="3" hiddenButton="1"/>
  </autoFilter>
  <tableColumns count="4">
    <tableColumn id="1" name="4.2" totalsRowLabel="Total" dataDxfId="197"/>
    <tableColumn id="2" name="Substituto na Intrajornada " dataDxfId="196"/>
    <tableColumn id="3" name="Comentário" dataDxfId="195"/>
    <tableColumn id="4" name="Valor" totalsRowFunction="sum" dataDxfId="194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comments" Target="../comments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13" Type="http://schemas.openxmlformats.org/officeDocument/2006/relationships/table" Target="../tables/table35.xml"/><Relationship Id="rId18" Type="http://schemas.openxmlformats.org/officeDocument/2006/relationships/table" Target="../tables/table40.xml"/><Relationship Id="rId3" Type="http://schemas.openxmlformats.org/officeDocument/2006/relationships/table" Target="../tables/table25.xml"/><Relationship Id="rId21" Type="http://schemas.openxmlformats.org/officeDocument/2006/relationships/table" Target="../tables/table43.xml"/><Relationship Id="rId7" Type="http://schemas.openxmlformats.org/officeDocument/2006/relationships/table" Target="../tables/table29.xml"/><Relationship Id="rId12" Type="http://schemas.openxmlformats.org/officeDocument/2006/relationships/table" Target="../tables/table34.xml"/><Relationship Id="rId17" Type="http://schemas.openxmlformats.org/officeDocument/2006/relationships/table" Target="../tables/table39.xml"/><Relationship Id="rId25" Type="http://schemas.openxmlformats.org/officeDocument/2006/relationships/comments" Target="../comments2.xml"/><Relationship Id="rId2" Type="http://schemas.openxmlformats.org/officeDocument/2006/relationships/table" Target="../tables/table24.xml"/><Relationship Id="rId16" Type="http://schemas.openxmlformats.org/officeDocument/2006/relationships/table" Target="../tables/table38.xml"/><Relationship Id="rId20" Type="http://schemas.openxmlformats.org/officeDocument/2006/relationships/table" Target="../tables/table42.xml"/><Relationship Id="rId1" Type="http://schemas.openxmlformats.org/officeDocument/2006/relationships/vmlDrawing" Target="../drawings/vmlDrawing2.vml"/><Relationship Id="rId6" Type="http://schemas.openxmlformats.org/officeDocument/2006/relationships/table" Target="../tables/table28.xml"/><Relationship Id="rId11" Type="http://schemas.openxmlformats.org/officeDocument/2006/relationships/table" Target="../tables/table33.xml"/><Relationship Id="rId24" Type="http://schemas.openxmlformats.org/officeDocument/2006/relationships/table" Target="../tables/table46.xml"/><Relationship Id="rId5" Type="http://schemas.openxmlformats.org/officeDocument/2006/relationships/table" Target="../tables/table27.xml"/><Relationship Id="rId15" Type="http://schemas.openxmlformats.org/officeDocument/2006/relationships/table" Target="../tables/table37.xml"/><Relationship Id="rId23" Type="http://schemas.openxmlformats.org/officeDocument/2006/relationships/table" Target="../tables/table45.xml"/><Relationship Id="rId10" Type="http://schemas.openxmlformats.org/officeDocument/2006/relationships/table" Target="../tables/table32.xml"/><Relationship Id="rId19" Type="http://schemas.openxmlformats.org/officeDocument/2006/relationships/table" Target="../tables/table41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Relationship Id="rId14" Type="http://schemas.openxmlformats.org/officeDocument/2006/relationships/table" Target="../tables/table36.xml"/><Relationship Id="rId22" Type="http://schemas.openxmlformats.org/officeDocument/2006/relationships/table" Target="../tables/table4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2.xml"/><Relationship Id="rId13" Type="http://schemas.openxmlformats.org/officeDocument/2006/relationships/table" Target="../tables/table57.xml"/><Relationship Id="rId3" Type="http://schemas.openxmlformats.org/officeDocument/2006/relationships/table" Target="../tables/table47.xml"/><Relationship Id="rId7" Type="http://schemas.openxmlformats.org/officeDocument/2006/relationships/table" Target="../tables/table51.xml"/><Relationship Id="rId12" Type="http://schemas.openxmlformats.org/officeDocument/2006/relationships/table" Target="../tables/table56.xml"/><Relationship Id="rId1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6" Type="http://schemas.openxmlformats.org/officeDocument/2006/relationships/table" Target="../tables/table6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0.xml"/><Relationship Id="rId11" Type="http://schemas.openxmlformats.org/officeDocument/2006/relationships/table" Target="../tables/table55.xml"/><Relationship Id="rId5" Type="http://schemas.openxmlformats.org/officeDocument/2006/relationships/table" Target="../tables/table49.xml"/><Relationship Id="rId15" Type="http://schemas.openxmlformats.org/officeDocument/2006/relationships/table" Target="../tables/table59.xml"/><Relationship Id="rId10" Type="http://schemas.openxmlformats.org/officeDocument/2006/relationships/table" Target="../tables/table54.xml"/><Relationship Id="rId4" Type="http://schemas.openxmlformats.org/officeDocument/2006/relationships/table" Target="../tables/table48.xml"/><Relationship Id="rId9" Type="http://schemas.openxmlformats.org/officeDocument/2006/relationships/table" Target="../tables/table53.xml"/><Relationship Id="rId14" Type="http://schemas.openxmlformats.org/officeDocument/2006/relationships/table" Target="../tables/table5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0"/>
  <sheetViews>
    <sheetView showGridLines="0" topLeftCell="A125" zoomScale="85" zoomScaleNormal="85" workbookViewId="0">
      <selection activeCell="D150" sqref="D150"/>
    </sheetView>
  </sheetViews>
  <sheetFormatPr defaultColWidth="9" defaultRowHeight="14.5" outlineLevelRow="1"/>
  <cols>
    <col min="1" max="1" width="12.453125" customWidth="1"/>
    <col min="2" max="2" width="76.453125" customWidth="1"/>
    <col min="3" max="3" width="28.453125" customWidth="1"/>
    <col min="4" max="4" width="27.453125" customWidth="1"/>
    <col min="6" max="6" width="32.7265625" customWidth="1"/>
    <col min="7" max="7" width="13" customWidth="1"/>
  </cols>
  <sheetData>
    <row r="1" spans="1:21">
      <c r="A1" s="123" t="s">
        <v>0</v>
      </c>
      <c r="B1" s="123"/>
      <c r="C1" s="123"/>
      <c r="D1" s="123"/>
      <c r="F1" s="122" t="s">
        <v>1</v>
      </c>
      <c r="G1" s="12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>
      <c r="A2" s="38" t="s">
        <v>2</v>
      </c>
      <c r="B2" t="s">
        <v>3</v>
      </c>
      <c r="C2" s="38" t="s">
        <v>4</v>
      </c>
      <c r="D2" s="38" t="s">
        <v>5</v>
      </c>
      <c r="F2" t="s">
        <v>3</v>
      </c>
      <c r="G2" t="s">
        <v>5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>
      <c r="A3" s="38">
        <v>1</v>
      </c>
      <c r="B3" t="s">
        <v>6</v>
      </c>
      <c r="C3" s="38"/>
      <c r="D3" s="38" t="s">
        <v>7</v>
      </c>
      <c r="F3" t="s">
        <v>8</v>
      </c>
      <c r="G3" s="83">
        <v>3.8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>
      <c r="A4" s="38">
        <v>2</v>
      </c>
      <c r="B4" t="s">
        <v>9</v>
      </c>
      <c r="C4" s="38"/>
      <c r="D4" s="38" t="s">
        <v>10</v>
      </c>
      <c r="F4" t="s">
        <v>11</v>
      </c>
      <c r="G4" s="83">
        <v>14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>
      <c r="A5" s="38">
        <v>3</v>
      </c>
      <c r="B5" t="s">
        <v>12</v>
      </c>
      <c r="C5" s="38" t="s">
        <v>13</v>
      </c>
      <c r="D5" s="84">
        <v>1002.88</v>
      </c>
      <c r="F5" t="s">
        <v>14</v>
      </c>
      <c r="G5" s="85">
        <v>22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>
      <c r="A6" s="38">
        <v>4</v>
      </c>
      <c r="B6" t="s">
        <v>15</v>
      </c>
      <c r="C6" s="38" t="s">
        <v>16</v>
      </c>
      <c r="D6" s="38" t="s">
        <v>17</v>
      </c>
      <c r="F6" t="s">
        <v>18</v>
      </c>
      <c r="G6" s="86">
        <v>0.03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1">
      <c r="A7" s="38">
        <v>5</v>
      </c>
      <c r="B7" t="s">
        <v>19</v>
      </c>
      <c r="C7" s="38"/>
      <c r="D7" s="38" t="s">
        <v>20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1">
      <c r="F8" s="122" t="s">
        <v>21</v>
      </c>
      <c r="G8" s="12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>
      <c r="A9" s="118" t="s">
        <v>22</v>
      </c>
      <c r="B9" s="118"/>
      <c r="C9" s="118"/>
      <c r="D9" s="118"/>
      <c r="F9" t="s">
        <v>23</v>
      </c>
      <c r="G9" t="s">
        <v>24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>
      <c r="A10" s="38" t="s">
        <v>25</v>
      </c>
      <c r="B10" t="s">
        <v>26</v>
      </c>
      <c r="C10" s="38" t="s">
        <v>4</v>
      </c>
      <c r="D10" s="38" t="s">
        <v>5</v>
      </c>
      <c r="F10" t="s">
        <v>27</v>
      </c>
      <c r="G10" s="87">
        <v>0.43369999999999997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1:21">
      <c r="A11" s="38" t="s">
        <v>28</v>
      </c>
      <c r="B11" t="s">
        <v>29</v>
      </c>
      <c r="C11" s="38"/>
      <c r="D11" s="47">
        <f>Salário_Normativo_da_Categoria_Profissional</f>
        <v>1002.88</v>
      </c>
      <c r="F11" t="s">
        <v>30</v>
      </c>
      <c r="G11" s="87">
        <v>0.43369999999999997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>
      <c r="A12" s="38" t="s">
        <v>31</v>
      </c>
      <c r="B12" t="s">
        <v>32</v>
      </c>
      <c r="C12" s="38"/>
      <c r="D12" s="47"/>
      <c r="F12" t="s">
        <v>33</v>
      </c>
      <c r="G12" s="87">
        <v>2.18E-2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>
      <c r="A13" s="38" t="s">
        <v>34</v>
      </c>
      <c r="B13" t="s">
        <v>35</v>
      </c>
      <c r="C13" s="38"/>
      <c r="D13" s="47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>
      <c r="A14" s="38" t="s">
        <v>36</v>
      </c>
      <c r="B14" t="s">
        <v>37</v>
      </c>
      <c r="C14" s="38"/>
      <c r="D14" s="47"/>
      <c r="F14" s="122" t="s">
        <v>38</v>
      </c>
      <c r="G14" s="12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1">
      <c r="A15" s="38" t="s">
        <v>39</v>
      </c>
      <c r="B15" t="s">
        <v>40</v>
      </c>
      <c r="C15" s="38"/>
      <c r="D15" s="47"/>
      <c r="F15" s="52" t="s">
        <v>3</v>
      </c>
      <c r="G15" s="52" t="s">
        <v>24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spans="1:21">
      <c r="A16" s="38" t="s">
        <v>41</v>
      </c>
      <c r="B16" t="s">
        <v>42</v>
      </c>
      <c r="C16" s="38"/>
      <c r="D16" s="47"/>
      <c r="F16" s="52" t="s">
        <v>43</v>
      </c>
      <c r="G16" s="88">
        <v>0.03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spans="1:21">
      <c r="A17" s="38" t="s">
        <v>44</v>
      </c>
      <c r="C17" s="38"/>
      <c r="D17" s="47">
        <f>SUBTOTAL(109,[Valor])</f>
        <v>1002.88</v>
      </c>
      <c r="F17" s="52" t="s">
        <v>45</v>
      </c>
      <c r="G17" s="88">
        <v>6.7900000000000002E-2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spans="1:21">
      <c r="F18" s="52" t="s">
        <v>46</v>
      </c>
      <c r="G18" s="89">
        <v>1.6500000000000001E-2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>
      <c r="A19" s="121" t="s">
        <v>47</v>
      </c>
      <c r="B19" s="121"/>
      <c r="C19" s="121"/>
      <c r="D19" s="121"/>
      <c r="F19" s="52" t="s">
        <v>48</v>
      </c>
      <c r="G19" s="89">
        <v>7.5999999999999998E-2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spans="1:21">
      <c r="A20" s="122" t="s">
        <v>49</v>
      </c>
      <c r="B20" s="122"/>
      <c r="C20" s="122"/>
      <c r="D20" s="122"/>
      <c r="F20" s="52" t="s">
        <v>50</v>
      </c>
      <c r="G20" s="89">
        <v>0.05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>
      <c r="A21" s="38" t="s">
        <v>51</v>
      </c>
      <c r="B21" t="s">
        <v>52</v>
      </c>
      <c r="C21" s="38" t="s">
        <v>4</v>
      </c>
      <c r="D21" s="38" t="s">
        <v>5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spans="1:21">
      <c r="A22" s="38" t="s">
        <v>28</v>
      </c>
      <c r="B22" t="s">
        <v>53</v>
      </c>
      <c r="D22" s="47">
        <f>Módulo13[[#Totals],[Valor]]/12</f>
        <v>83.573333333333338</v>
      </c>
      <c r="F22" s="122" t="s">
        <v>54</v>
      </c>
      <c r="G22" s="12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spans="1:21">
      <c r="A23" s="38" t="s">
        <v>31</v>
      </c>
      <c r="B23" t="s">
        <v>55</v>
      </c>
      <c r="D23" s="47">
        <f>(Módulo13[[#Totals],[Valor]]/12)*(1/3)</f>
        <v>27.857777777777777</v>
      </c>
      <c r="E23" s="27"/>
      <c r="F23" s="38" t="s">
        <v>3</v>
      </c>
      <c r="G23" s="38" t="s">
        <v>5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spans="1:21">
      <c r="A24" s="38" t="s">
        <v>44</v>
      </c>
      <c r="D24" s="47">
        <f>SUBTOTAL(109,[Valor])</f>
        <v>111.43111111111111</v>
      </c>
      <c r="F24" s="52" t="s">
        <v>56</v>
      </c>
      <c r="G24" s="90">
        <f>((D17+D24+(D17/12))*(100%+C41))/30</f>
        <v>54.62353066666666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5" spans="1:21">
      <c r="A25" s="38"/>
      <c r="D25" s="47"/>
      <c r="F25" s="52" t="s">
        <v>57</v>
      </c>
      <c r="G25" s="90">
        <f>((D17*(1+(1/3))*(100%+C41))/12)/30</f>
        <v>5.0812586666666659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spans="1:21">
      <c r="A26" s="119" t="s">
        <v>58</v>
      </c>
      <c r="B26" s="119"/>
      <c r="C26" s="119"/>
      <c r="D26" s="11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  <row r="27" spans="1:21">
      <c r="A27" s="91" t="s">
        <v>2</v>
      </c>
      <c r="B27" s="91" t="s">
        <v>59</v>
      </c>
      <c r="C27" s="91" t="s">
        <v>60</v>
      </c>
      <c r="D27" s="92" t="s">
        <v>61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1" ht="29">
      <c r="A28" s="39" t="s">
        <v>28</v>
      </c>
      <c r="B28" s="93" t="s">
        <v>62</v>
      </c>
      <c r="C28" s="94" t="s">
        <v>63</v>
      </c>
      <c r="D28" s="93" t="s">
        <v>64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1">
      <c r="A29" s="39" t="s">
        <v>31</v>
      </c>
      <c r="B29" s="95" t="s">
        <v>55</v>
      </c>
      <c r="C29" s="94" t="s">
        <v>63</v>
      </c>
      <c r="D29" s="93" t="s">
        <v>65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spans="1:21">
      <c r="A30" s="38"/>
      <c r="B30" s="38"/>
      <c r="C30" s="55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</row>
    <row r="31" spans="1:21">
      <c r="A31" s="122" t="s">
        <v>66</v>
      </c>
      <c r="B31" s="122"/>
      <c r="C31" s="122"/>
      <c r="D31" s="122"/>
    </row>
    <row r="32" spans="1:21">
      <c r="A32" s="38" t="s">
        <v>67</v>
      </c>
      <c r="B32" t="s">
        <v>68</v>
      </c>
      <c r="C32" s="38" t="s">
        <v>24</v>
      </c>
      <c r="D32" s="38" t="s">
        <v>69</v>
      </c>
    </row>
    <row r="33" spans="1:4">
      <c r="A33" s="38" t="s">
        <v>28</v>
      </c>
      <c r="B33" t="s">
        <v>70</v>
      </c>
      <c r="C33" s="56">
        <v>0.2</v>
      </c>
      <c r="D33" s="47">
        <f>C33*(Módulo13[[#Totals],[Valor]]+Submódulo2.14[[#Totals],[Valor]])</f>
        <v>222.86222222222224</v>
      </c>
    </row>
    <row r="34" spans="1:4">
      <c r="A34" s="38" t="s">
        <v>31</v>
      </c>
      <c r="B34" t="s">
        <v>71</v>
      </c>
      <c r="C34" s="56">
        <v>2.5000000000000001E-2</v>
      </c>
      <c r="D34" s="47">
        <f>C34*(Módulo13[[#Totals],[Valor]]+Submódulo2.14[[#Totals],[Valor]])</f>
        <v>27.85777777777778</v>
      </c>
    </row>
    <row r="35" spans="1:4">
      <c r="A35" s="38" t="s">
        <v>34</v>
      </c>
      <c r="B35" t="s">
        <v>72</v>
      </c>
      <c r="C35" s="56">
        <f>Servente!G6</f>
        <v>0.03</v>
      </c>
      <c r="D35" s="47">
        <f>C35*(Módulo13[[#Totals],[Valor]]+Submódulo2.14[[#Totals],[Valor]])</f>
        <v>33.429333333333332</v>
      </c>
    </row>
    <row r="36" spans="1:4">
      <c r="A36" s="38" t="s">
        <v>36</v>
      </c>
      <c r="B36" t="s">
        <v>73</v>
      </c>
      <c r="C36" s="56">
        <v>1.4999999999999999E-2</v>
      </c>
      <c r="D36" s="47">
        <f>C36*(Módulo13[[#Totals],[Valor]]+Submódulo2.14[[#Totals],[Valor]])</f>
        <v>16.714666666666666</v>
      </c>
    </row>
    <row r="37" spans="1:4">
      <c r="A37" s="38" t="s">
        <v>39</v>
      </c>
      <c r="B37" t="s">
        <v>74</v>
      </c>
      <c r="C37" s="56">
        <v>0.01</v>
      </c>
      <c r="D37" s="47">
        <f>C37*(Módulo13[[#Totals],[Valor]]+Submódulo2.14[[#Totals],[Valor]])</f>
        <v>11.143111111111111</v>
      </c>
    </row>
    <row r="38" spans="1:4">
      <c r="A38" s="38" t="s">
        <v>41</v>
      </c>
      <c r="B38" t="s">
        <v>75</v>
      </c>
      <c r="C38" s="56">
        <v>6.0000000000000001E-3</v>
      </c>
      <c r="D38" s="47">
        <f>C38*(Módulo13[[#Totals],[Valor]]+Submódulo2.14[[#Totals],[Valor]])</f>
        <v>6.6858666666666666</v>
      </c>
    </row>
    <row r="39" spans="1:4">
      <c r="A39" s="38" t="s">
        <v>76</v>
      </c>
      <c r="B39" t="s">
        <v>77</v>
      </c>
      <c r="C39" s="56">
        <v>2E-3</v>
      </c>
      <c r="D39" s="47">
        <f>C39*(Módulo13[[#Totals],[Valor]]+Submódulo2.14[[#Totals],[Valor]])</f>
        <v>2.2286222222222225</v>
      </c>
    </row>
    <row r="40" spans="1:4">
      <c r="A40" s="38" t="s">
        <v>78</v>
      </c>
      <c r="B40" t="s">
        <v>79</v>
      </c>
      <c r="C40" s="56">
        <v>0.08</v>
      </c>
      <c r="D40" s="47">
        <f>C40*(Módulo13[[#Totals],[Valor]]+Submódulo2.14[[#Totals],[Valor]])</f>
        <v>89.144888888888886</v>
      </c>
    </row>
    <row r="41" spans="1:4">
      <c r="A41" s="38" t="s">
        <v>44</v>
      </c>
      <c r="C41" s="59">
        <v>0.36799999999999999</v>
      </c>
      <c r="D41" s="47">
        <f>SUBTOTAL(109,[[Valor ]])</f>
        <v>410.0664888888889</v>
      </c>
    </row>
    <row r="42" spans="1:4">
      <c r="A42" s="38"/>
      <c r="C42" s="59"/>
      <c r="D42" s="47"/>
    </row>
    <row r="43" spans="1:4">
      <c r="A43" s="119" t="s">
        <v>80</v>
      </c>
      <c r="B43" s="119"/>
      <c r="C43" s="119"/>
      <c r="D43" s="119"/>
    </row>
    <row r="44" spans="1:4">
      <c r="A44" s="91" t="s">
        <v>2</v>
      </c>
      <c r="B44" s="91" t="s">
        <v>59</v>
      </c>
      <c r="C44" s="91" t="s">
        <v>60</v>
      </c>
      <c r="D44" s="92" t="s">
        <v>61</v>
      </c>
    </row>
    <row r="45" spans="1:4" ht="29">
      <c r="A45" s="39" t="s">
        <v>81</v>
      </c>
      <c r="B45" s="93" t="s">
        <v>68</v>
      </c>
      <c r="C45" s="93" t="s">
        <v>82</v>
      </c>
      <c r="D45" s="93" t="s">
        <v>83</v>
      </c>
    </row>
    <row r="47" spans="1:4">
      <c r="A47" s="122" t="s">
        <v>84</v>
      </c>
      <c r="B47" s="122"/>
      <c r="C47" s="122"/>
      <c r="D47" s="122"/>
    </row>
    <row r="48" spans="1:4">
      <c r="A48" s="38" t="s">
        <v>85</v>
      </c>
      <c r="B48" t="s">
        <v>86</v>
      </c>
      <c r="C48" s="38" t="s">
        <v>4</v>
      </c>
      <c r="D48" s="38" t="s">
        <v>5</v>
      </c>
    </row>
    <row r="49" spans="1:4">
      <c r="A49" s="38" t="s">
        <v>28</v>
      </c>
      <c r="B49" t="s">
        <v>87</v>
      </c>
      <c r="D49" s="47">
        <v>107.02719999999999</v>
      </c>
    </row>
    <row r="50" spans="1:4">
      <c r="A50" s="38" t="s">
        <v>31</v>
      </c>
      <c r="B50" t="s">
        <v>88</v>
      </c>
      <c r="D50" s="47">
        <f>(Servente!G4*Servente!G5)*80%</f>
        <v>246.4</v>
      </c>
    </row>
    <row r="51" spans="1:4">
      <c r="A51" s="38" t="s">
        <v>34</v>
      </c>
      <c r="B51" t="s">
        <v>89</v>
      </c>
      <c r="D51" s="47"/>
    </row>
    <row r="52" spans="1:4">
      <c r="A52" s="38" t="s">
        <v>36</v>
      </c>
      <c r="B52" t="s">
        <v>90</v>
      </c>
      <c r="C52" t="s">
        <v>91</v>
      </c>
      <c r="D52" s="47">
        <v>4</v>
      </c>
    </row>
    <row r="53" spans="1:4">
      <c r="A53" s="38" t="s">
        <v>39</v>
      </c>
      <c r="B53" t="s">
        <v>92</v>
      </c>
      <c r="C53" t="s">
        <v>93</v>
      </c>
      <c r="D53" s="47">
        <v>15</v>
      </c>
    </row>
    <row r="54" spans="1:4">
      <c r="A54" s="38" t="s">
        <v>44</v>
      </c>
      <c r="D54" s="47">
        <v>372.42720000000003</v>
      </c>
    </row>
    <row r="55" spans="1:4">
      <c r="A55" s="38"/>
      <c r="D55" s="47"/>
    </row>
    <row r="56" spans="1:4">
      <c r="A56" s="119" t="s">
        <v>94</v>
      </c>
      <c r="B56" s="119"/>
      <c r="C56" s="119"/>
      <c r="D56" s="119"/>
    </row>
    <row r="57" spans="1:4">
      <c r="A57" s="91" t="s">
        <v>2</v>
      </c>
      <c r="B57" s="91" t="s">
        <v>59</v>
      </c>
      <c r="C57" s="91" t="s">
        <v>60</v>
      </c>
      <c r="D57" s="91" t="s">
        <v>61</v>
      </c>
    </row>
    <row r="58" spans="1:4" ht="43.5">
      <c r="A58" s="39" t="s">
        <v>28</v>
      </c>
      <c r="B58" s="93" t="s">
        <v>87</v>
      </c>
      <c r="C58" s="94" t="s">
        <v>95</v>
      </c>
      <c r="D58" s="94" t="s">
        <v>96</v>
      </c>
    </row>
    <row r="59" spans="1:4" ht="29">
      <c r="A59" s="39" t="s">
        <v>31</v>
      </c>
      <c r="B59" s="95" t="s">
        <v>88</v>
      </c>
      <c r="C59" s="94" t="s">
        <v>95</v>
      </c>
      <c r="D59" s="94" t="s">
        <v>97</v>
      </c>
    </row>
    <row r="60" spans="1:4" ht="19.5" customHeight="1">
      <c r="A60" s="38"/>
      <c r="D60" s="47"/>
    </row>
    <row r="61" spans="1:4">
      <c r="A61" s="122" t="s">
        <v>98</v>
      </c>
      <c r="B61" s="122"/>
      <c r="C61" s="122"/>
      <c r="D61" s="122"/>
    </row>
    <row r="62" spans="1:4">
      <c r="A62" s="38" t="s">
        <v>99</v>
      </c>
      <c r="B62" t="s">
        <v>100</v>
      </c>
      <c r="C62" s="38" t="s">
        <v>4</v>
      </c>
      <c r="D62" s="38" t="s">
        <v>5</v>
      </c>
    </row>
    <row r="63" spans="1:4">
      <c r="A63" s="38" t="s">
        <v>51</v>
      </c>
      <c r="B63" t="s">
        <v>52</v>
      </c>
      <c r="C63" s="38"/>
      <c r="D63" s="47">
        <f>Submódulo2.14[[#Totals],[Valor]]</f>
        <v>111.43111111111111</v>
      </c>
    </row>
    <row r="64" spans="1:4">
      <c r="A64" s="38" t="s">
        <v>67</v>
      </c>
      <c r="B64" t="s">
        <v>68</v>
      </c>
      <c r="C64" s="38"/>
      <c r="D64" s="47">
        <f>Submódulo2.26[[#Totals],[Valor ]]</f>
        <v>410.0664888888889</v>
      </c>
    </row>
    <row r="65" spans="1:4">
      <c r="A65" s="38" t="s">
        <v>85</v>
      </c>
      <c r="B65" t="s">
        <v>86</v>
      </c>
      <c r="C65" s="38"/>
      <c r="D65" s="47">
        <f>Submódulo2.38[[#Totals],[Valor]]</f>
        <v>372.42720000000003</v>
      </c>
    </row>
    <row r="66" spans="1:4">
      <c r="A66" s="38" t="s">
        <v>44</v>
      </c>
      <c r="C66" s="38"/>
      <c r="D66" s="47">
        <f>SUBTOTAL(109,[Valor])</f>
        <v>893.9248</v>
      </c>
    </row>
    <row r="68" spans="1:4">
      <c r="A68" s="118" t="s">
        <v>101</v>
      </c>
      <c r="B68" s="118"/>
      <c r="C68" s="118"/>
      <c r="D68" s="118"/>
    </row>
    <row r="69" spans="1:4">
      <c r="A69" s="38" t="s">
        <v>102</v>
      </c>
      <c r="B69" t="s">
        <v>103</v>
      </c>
      <c r="C69" s="38" t="s">
        <v>4</v>
      </c>
      <c r="D69" s="38" t="s">
        <v>5</v>
      </c>
    </row>
    <row r="70" spans="1:4">
      <c r="A70" s="38" t="s">
        <v>28</v>
      </c>
      <c r="B70" t="s">
        <v>104</v>
      </c>
      <c r="D70" s="47">
        <f>((Módulo13[[#Totals],[Valor]]+D63+D65)/12)*G10</f>
        <v>53.73320046074074</v>
      </c>
    </row>
    <row r="71" spans="1:4">
      <c r="A71" s="38" t="s">
        <v>31</v>
      </c>
      <c r="B71" t="s">
        <v>105</v>
      </c>
      <c r="D71" s="47">
        <f>(D40/12)*Servente!G10</f>
        <v>3.2218448592592588</v>
      </c>
    </row>
    <row r="72" spans="1:4">
      <c r="A72" s="38" t="s">
        <v>34</v>
      </c>
      <c r="B72" t="s">
        <v>106</v>
      </c>
      <c r="D72" s="47">
        <f>D40*50%*Servente!G10</f>
        <v>19.331069155555554</v>
      </c>
    </row>
    <row r="73" spans="1:4">
      <c r="A73" s="38" t="s">
        <v>36</v>
      </c>
      <c r="B73" t="s">
        <v>107</v>
      </c>
      <c r="D73" s="47">
        <f>((Módulo13[[#Totals],[Valor]]+ResumoMódulo29[[#Totals],[Valor]])/12)*G11</f>
        <v>68.553686813333314</v>
      </c>
    </row>
    <row r="74" spans="1:4">
      <c r="A74" s="38" t="s">
        <v>39</v>
      </c>
      <c r="B74" t="s">
        <v>108</v>
      </c>
      <c r="D74" s="47">
        <f>D40*50%*Servente!G11</f>
        <v>19.331069155555554</v>
      </c>
    </row>
    <row r="75" spans="1:4">
      <c r="A75" s="38" t="s">
        <v>41</v>
      </c>
      <c r="B75" t="s">
        <v>109</v>
      </c>
      <c r="D75" s="47">
        <f>-D63*Servente!G12</f>
        <v>-2.4291982222222219</v>
      </c>
    </row>
    <row r="76" spans="1:4">
      <c r="A76" s="38" t="s">
        <v>44</v>
      </c>
      <c r="D76" s="47">
        <f>SUBTOTAL(109,[Valor])</f>
        <v>161.74167222222218</v>
      </c>
    </row>
    <row r="77" spans="1:4">
      <c r="A77" s="38"/>
      <c r="D77" s="47"/>
    </row>
    <row r="78" spans="1:4">
      <c r="A78" s="119" t="s">
        <v>110</v>
      </c>
      <c r="B78" s="119"/>
      <c r="C78" s="119"/>
      <c r="D78" s="119"/>
    </row>
    <row r="79" spans="1:4">
      <c r="A79" s="91" t="s">
        <v>2</v>
      </c>
      <c r="B79" s="91" t="s">
        <v>59</v>
      </c>
      <c r="C79" s="91" t="s">
        <v>60</v>
      </c>
      <c r="D79" s="91" t="s">
        <v>61</v>
      </c>
    </row>
    <row r="80" spans="1:4" ht="58">
      <c r="A80" s="39" t="s">
        <v>28</v>
      </c>
      <c r="B80" s="93" t="s">
        <v>104</v>
      </c>
      <c r="C80" s="94" t="s">
        <v>111</v>
      </c>
      <c r="D80" s="94" t="s">
        <v>112</v>
      </c>
    </row>
    <row r="81" spans="1:5" ht="58">
      <c r="A81" s="39" t="s">
        <v>31</v>
      </c>
      <c r="B81" s="95" t="s">
        <v>105</v>
      </c>
      <c r="C81" s="94" t="s">
        <v>113</v>
      </c>
      <c r="D81" s="94" t="s">
        <v>112</v>
      </c>
    </row>
    <row r="82" spans="1:5" ht="72.5">
      <c r="A82" s="39" t="s">
        <v>34</v>
      </c>
      <c r="B82" s="95" t="s">
        <v>106</v>
      </c>
      <c r="C82" s="94" t="s">
        <v>113</v>
      </c>
      <c r="D82" s="96" t="s">
        <v>114</v>
      </c>
    </row>
    <row r="83" spans="1:5" ht="58">
      <c r="A83" s="39" t="s">
        <v>36</v>
      </c>
      <c r="B83" s="97" t="s">
        <v>107</v>
      </c>
      <c r="C83" s="94" t="s">
        <v>115</v>
      </c>
      <c r="D83" s="96" t="s">
        <v>116</v>
      </c>
    </row>
    <row r="84" spans="1:5" ht="72.5">
      <c r="A84" s="39" t="s">
        <v>39</v>
      </c>
      <c r="B84" s="97" t="s">
        <v>108</v>
      </c>
      <c r="C84" s="94" t="s">
        <v>113</v>
      </c>
      <c r="D84" s="96" t="s">
        <v>117</v>
      </c>
    </row>
    <row r="85" spans="1:5" ht="58">
      <c r="A85" s="39" t="s">
        <v>41</v>
      </c>
      <c r="B85" s="97" t="s">
        <v>109</v>
      </c>
      <c r="C85" s="94" t="s">
        <v>118</v>
      </c>
      <c r="D85" s="96" t="s">
        <v>119</v>
      </c>
    </row>
    <row r="87" spans="1:5">
      <c r="A87" s="120" t="s">
        <v>120</v>
      </c>
      <c r="B87" s="121"/>
      <c r="C87" s="121"/>
      <c r="D87" s="121"/>
    </row>
    <row r="88" spans="1:5">
      <c r="A88" s="117" t="s">
        <v>121</v>
      </c>
      <c r="B88" s="117"/>
      <c r="C88" s="117"/>
      <c r="D88" s="117"/>
    </row>
    <row r="89" spans="1:5">
      <c r="A89" s="38" t="s">
        <v>122</v>
      </c>
      <c r="B89" t="s">
        <v>123</v>
      </c>
      <c r="C89" s="38" t="s">
        <v>124</v>
      </c>
      <c r="D89" s="38" t="s">
        <v>5</v>
      </c>
    </row>
    <row r="90" spans="1:5">
      <c r="A90" s="38" t="s">
        <v>28</v>
      </c>
      <c r="B90" t="s">
        <v>125</v>
      </c>
      <c r="C90" s="38">
        <v>30</v>
      </c>
      <c r="D90" s="47">
        <f t="shared" ref="D90:D95" si="0">(C90*G$24)/12</f>
        <v>136.55882666666665</v>
      </c>
      <c r="E90" s="27"/>
    </row>
    <row r="91" spans="1:5">
      <c r="A91" s="38" t="s">
        <v>31</v>
      </c>
      <c r="B91" t="s">
        <v>126</v>
      </c>
      <c r="C91" s="38">
        <v>1.4180999999999999</v>
      </c>
      <c r="D91" s="47">
        <f t="shared" si="0"/>
        <v>6.4551357365333324</v>
      </c>
      <c r="E91" s="27"/>
    </row>
    <row r="92" spans="1:5">
      <c r="A92" s="38" t="s">
        <v>34</v>
      </c>
      <c r="B92" t="s">
        <v>127</v>
      </c>
      <c r="C92" s="38">
        <v>0.1898</v>
      </c>
      <c r="D92" s="47">
        <f t="shared" si="0"/>
        <v>0.86396217671111097</v>
      </c>
      <c r="E92" s="27"/>
    </row>
    <row r="93" spans="1:5">
      <c r="A93" s="38" t="s">
        <v>36</v>
      </c>
      <c r="B93" t="s">
        <v>128</v>
      </c>
      <c r="C93" s="38">
        <v>0.95450000000000002</v>
      </c>
      <c r="D93" s="47">
        <f t="shared" si="0"/>
        <v>4.3448466684444442</v>
      </c>
      <c r="E93" s="27"/>
    </row>
    <row r="94" spans="1:5">
      <c r="A94" s="38" t="s">
        <v>39</v>
      </c>
      <c r="B94" t="s">
        <v>129</v>
      </c>
      <c r="C94" s="38">
        <v>2.4723000000000002</v>
      </c>
      <c r="D94" s="47">
        <f>(C94*G$25)/12</f>
        <v>1.0468663167999999</v>
      </c>
      <c r="E94" s="27"/>
    </row>
    <row r="95" spans="1:5">
      <c r="A95" s="38" t="s">
        <v>41</v>
      </c>
      <c r="B95" t="s">
        <v>130</v>
      </c>
      <c r="C95" s="38">
        <v>3.4521000000000002</v>
      </c>
      <c r="D95" s="47">
        <f t="shared" si="0"/>
        <v>15.713824184533332</v>
      </c>
      <c r="E95" s="27"/>
    </row>
    <row r="96" spans="1:5">
      <c r="A96" s="38" t="s">
        <v>44</v>
      </c>
      <c r="C96" s="38">
        <f>SUBTOTAL(109,[Dias de ausência])</f>
        <v>38.486800000000002</v>
      </c>
      <c r="D96" s="47">
        <f>SUBTOTAL(109,[Valor])</f>
        <v>164.98346174968884</v>
      </c>
    </row>
    <row r="97" spans="1:4">
      <c r="A97" s="38"/>
      <c r="C97" s="38"/>
      <c r="D97" s="47"/>
    </row>
    <row r="98" spans="1:4">
      <c r="A98" s="119" t="s">
        <v>131</v>
      </c>
      <c r="B98" s="119"/>
      <c r="C98" s="119"/>
      <c r="D98" s="119"/>
    </row>
    <row r="99" spans="1:4">
      <c r="A99" s="91" t="s">
        <v>2</v>
      </c>
      <c r="B99" s="91" t="s">
        <v>59</v>
      </c>
      <c r="C99" s="91" t="s">
        <v>60</v>
      </c>
      <c r="D99" s="91" t="s">
        <v>61</v>
      </c>
    </row>
    <row r="100" spans="1:4">
      <c r="A100" s="39" t="s">
        <v>132</v>
      </c>
      <c r="B100" s="93" t="s">
        <v>133</v>
      </c>
      <c r="C100" s="94"/>
      <c r="D100" s="94"/>
    </row>
    <row r="101" spans="1:4" ht="58">
      <c r="A101" s="39" t="s">
        <v>134</v>
      </c>
      <c r="B101" s="95" t="s">
        <v>135</v>
      </c>
      <c r="C101" s="94" t="s">
        <v>136</v>
      </c>
      <c r="D101" s="94" t="s">
        <v>137</v>
      </c>
    </row>
    <row r="102" spans="1:4" ht="58">
      <c r="A102" s="39" t="s">
        <v>39</v>
      </c>
      <c r="B102" s="95" t="s">
        <v>138</v>
      </c>
      <c r="C102" s="94" t="s">
        <v>139</v>
      </c>
      <c r="D102" s="94" t="s">
        <v>137</v>
      </c>
    </row>
    <row r="103" spans="1:4">
      <c r="A103" s="38"/>
      <c r="C103" s="38"/>
      <c r="D103" s="47"/>
    </row>
    <row r="104" spans="1:4">
      <c r="A104" s="122" t="s">
        <v>140</v>
      </c>
      <c r="B104" s="122"/>
      <c r="C104" s="122"/>
      <c r="D104" s="122"/>
    </row>
    <row r="105" spans="1:4">
      <c r="A105" s="38" t="s">
        <v>141</v>
      </c>
      <c r="B105" t="s">
        <v>142</v>
      </c>
      <c r="C105" s="38" t="s">
        <v>4</v>
      </c>
      <c r="D105" s="38" t="s">
        <v>5</v>
      </c>
    </row>
    <row r="106" spans="1:4">
      <c r="A106" s="38" t="s">
        <v>28</v>
      </c>
      <c r="B106" t="s">
        <v>143</v>
      </c>
      <c r="C106" s="38"/>
      <c r="D106" s="47"/>
    </row>
    <row r="107" spans="1:4">
      <c r="A107" s="38" t="s">
        <v>44</v>
      </c>
      <c r="C107" s="38"/>
      <c r="D107" s="47">
        <f>SUBTOTAL(109,[Valor])</f>
        <v>0</v>
      </c>
    </row>
    <row r="109" spans="1:4">
      <c r="A109" s="117" t="s">
        <v>144</v>
      </c>
      <c r="B109" s="117"/>
      <c r="C109" s="117"/>
      <c r="D109" s="117"/>
    </row>
    <row r="110" spans="1:4">
      <c r="A110" s="38" t="s">
        <v>145</v>
      </c>
      <c r="B110" t="s">
        <v>146</v>
      </c>
      <c r="C110" s="38" t="s">
        <v>4</v>
      </c>
      <c r="D110" s="38" t="s">
        <v>5</v>
      </c>
    </row>
    <row r="111" spans="1:4">
      <c r="A111" s="38" t="s">
        <v>122</v>
      </c>
      <c r="B111" t="s">
        <v>123</v>
      </c>
      <c r="D111" s="47">
        <f>Submódulo4.125[[#Totals],[Valor]]</f>
        <v>164.98346174968884</v>
      </c>
    </row>
    <row r="112" spans="1:4">
      <c r="A112" s="38" t="s">
        <v>141</v>
      </c>
      <c r="B112" t="s">
        <v>147</v>
      </c>
      <c r="D112" s="47">
        <f>Submódulo4.226[[#Totals],[Valor]]</f>
        <v>0</v>
      </c>
    </row>
    <row r="113" spans="1:4">
      <c r="A113" s="38" t="s">
        <v>44</v>
      </c>
      <c r="D113" s="47">
        <f>SUBTOTAL(109,[Valor])</f>
        <v>164.98346174968884</v>
      </c>
    </row>
    <row r="115" spans="1:4">
      <c r="A115" s="118" t="s">
        <v>148</v>
      </c>
      <c r="B115" s="118"/>
      <c r="C115" s="118"/>
      <c r="D115" s="118"/>
    </row>
    <row r="116" spans="1:4">
      <c r="A116" s="38" t="s">
        <v>149</v>
      </c>
      <c r="B116" t="s">
        <v>150</v>
      </c>
      <c r="C116" s="38" t="s">
        <v>4</v>
      </c>
      <c r="D116" s="38" t="s">
        <v>5</v>
      </c>
    </row>
    <row r="117" spans="1:4">
      <c r="A117" s="38" t="s">
        <v>28</v>
      </c>
      <c r="B117" t="s">
        <v>151</v>
      </c>
      <c r="D117" s="47" t="e">
        <f>#REF!</f>
        <v>#REF!</v>
      </c>
    </row>
    <row r="118" spans="1:4">
      <c r="A118" s="38" t="s">
        <v>31</v>
      </c>
      <c r="B118" t="s">
        <v>152</v>
      </c>
      <c r="D118" s="47" t="e">
        <f>#REF!/#REF!</f>
        <v>#REF!</v>
      </c>
    </row>
    <row r="119" spans="1:4">
      <c r="A119" s="38" t="s">
        <v>34</v>
      </c>
      <c r="B119" t="s">
        <v>153</v>
      </c>
      <c r="D119" s="47" t="e">
        <f>#REF!/#REF!</f>
        <v>#REF!</v>
      </c>
    </row>
    <row r="120" spans="1:4">
      <c r="A120" s="38" t="s">
        <v>36</v>
      </c>
      <c r="B120" t="s">
        <v>154</v>
      </c>
      <c r="D120" s="47" t="e">
        <f>#REF!</f>
        <v>#REF!</v>
      </c>
    </row>
    <row r="121" spans="1:4">
      <c r="A121" s="38" t="s">
        <v>44</v>
      </c>
      <c r="D121" s="47" t="e">
        <f>SUBTOTAL(109,[Valor])</f>
        <v>#REF!</v>
      </c>
    </row>
    <row r="122" spans="1:4">
      <c r="A122" s="38"/>
      <c r="D122" s="47"/>
    </row>
    <row r="123" spans="1:4">
      <c r="A123" s="119" t="s">
        <v>155</v>
      </c>
      <c r="B123" s="119"/>
      <c r="C123" s="119"/>
      <c r="D123" s="119"/>
    </row>
    <row r="124" spans="1:4">
      <c r="A124" s="91" t="s">
        <v>2</v>
      </c>
      <c r="B124" s="91" t="s">
        <v>59</v>
      </c>
      <c r="C124" s="91" t="s">
        <v>60</v>
      </c>
      <c r="D124" s="91" t="s">
        <v>61</v>
      </c>
    </row>
    <row r="125" spans="1:4">
      <c r="A125" s="39" t="s">
        <v>28</v>
      </c>
      <c r="B125" s="93" t="s">
        <v>151</v>
      </c>
      <c r="C125" s="94" t="s">
        <v>156</v>
      </c>
      <c r="D125" s="94"/>
    </row>
    <row r="126" spans="1:4" ht="29">
      <c r="A126" s="39" t="s">
        <v>31</v>
      </c>
      <c r="B126" s="95" t="s">
        <v>152</v>
      </c>
      <c r="C126" s="94" t="s">
        <v>157</v>
      </c>
      <c r="D126" s="94" t="s">
        <v>158</v>
      </c>
    </row>
    <row r="127" spans="1:4" ht="29">
      <c r="A127" s="39" t="s">
        <v>34</v>
      </c>
      <c r="B127" s="95" t="s">
        <v>153</v>
      </c>
      <c r="C127" s="94" t="s">
        <v>159</v>
      </c>
      <c r="D127" s="94" t="s">
        <v>158</v>
      </c>
    </row>
    <row r="128" spans="1:4">
      <c r="A128" s="39" t="s">
        <v>36</v>
      </c>
      <c r="B128" s="95" t="s">
        <v>154</v>
      </c>
      <c r="C128" s="94"/>
      <c r="D128" s="94"/>
    </row>
    <row r="130" spans="1:4">
      <c r="A130" s="118" t="s">
        <v>160</v>
      </c>
      <c r="B130" s="118"/>
      <c r="C130" s="118"/>
      <c r="D130" s="118"/>
    </row>
    <row r="131" spans="1:4" outlineLevel="1">
      <c r="A131" s="38" t="s">
        <v>161</v>
      </c>
      <c r="B131" t="s">
        <v>162</v>
      </c>
      <c r="C131" s="38" t="s">
        <v>24</v>
      </c>
      <c r="D131" s="38" t="s">
        <v>5</v>
      </c>
    </row>
    <row r="132" spans="1:4" outlineLevel="1">
      <c r="A132" s="38" t="s">
        <v>28</v>
      </c>
      <c r="B132" t="s">
        <v>163</v>
      </c>
      <c r="C132" s="56">
        <f>G16</f>
        <v>0.03</v>
      </c>
      <c r="D132" s="47" t="e">
        <f>Módulo629[[#This Row],[Percentual]]*(D143+D144+D145+D146+D147)</f>
        <v>#REF!</v>
      </c>
    </row>
    <row r="133" spans="1:4" outlineLevel="1">
      <c r="A133" s="38" t="s">
        <v>31</v>
      </c>
      <c r="B133" t="s">
        <v>45</v>
      </c>
      <c r="C133" s="56">
        <f>G17</f>
        <v>6.7900000000000002E-2</v>
      </c>
      <c r="D133" s="47" t="e">
        <f>(SUM(D143:D147)+D132)*Módulo629[[#This Row],[Percentual]]</f>
        <v>#REF!</v>
      </c>
    </row>
    <row r="134" spans="1:4">
      <c r="A134" s="38" t="s">
        <v>34</v>
      </c>
      <c r="B134" t="s">
        <v>164</v>
      </c>
      <c r="C134" s="56">
        <f>SUM(C135:C137)</f>
        <v>0.14249999999999999</v>
      </c>
      <c r="D134" s="47" t="e">
        <f>Módulo629[[#This Row],[Percentual]]*D150</f>
        <v>#REF!</v>
      </c>
    </row>
    <row r="135" spans="1:4">
      <c r="A135" s="38" t="s">
        <v>165</v>
      </c>
      <c r="B135" t="s">
        <v>46</v>
      </c>
      <c r="C135" s="56">
        <f>G18</f>
        <v>1.6500000000000001E-2</v>
      </c>
      <c r="D135" s="47" t="e">
        <f>Módulo629[[#This Row],[Percentual]]*D150</f>
        <v>#REF!</v>
      </c>
    </row>
    <row r="136" spans="1:4">
      <c r="A136" s="38" t="s">
        <v>166</v>
      </c>
      <c r="B136" t="s">
        <v>48</v>
      </c>
      <c r="C136" s="56">
        <f>G19</f>
        <v>7.5999999999999998E-2</v>
      </c>
      <c r="D136" s="47" t="e">
        <f>Módulo629[[#This Row],[Percentual]]*D150</f>
        <v>#REF!</v>
      </c>
    </row>
    <row r="137" spans="1:4">
      <c r="A137" s="38" t="s">
        <v>167</v>
      </c>
      <c r="B137" t="s">
        <v>50</v>
      </c>
      <c r="C137" s="56">
        <f>G20</f>
        <v>0.05</v>
      </c>
      <c r="D137" s="47" t="e">
        <f>Módulo629[[#This Row],[Percentual]]*D150</f>
        <v>#REF!</v>
      </c>
    </row>
    <row r="138" spans="1:4">
      <c r="A138" s="38" t="s">
        <v>44</v>
      </c>
      <c r="C138" s="71"/>
      <c r="D138" s="47" t="e">
        <f>SUM(D132:D134)</f>
        <v>#REF!</v>
      </c>
    </row>
    <row r="139" spans="1:4">
      <c r="A139" s="38"/>
      <c r="C139" s="71"/>
      <c r="D139" s="47"/>
    </row>
    <row r="141" spans="1:4">
      <c r="A141" s="118" t="s">
        <v>168</v>
      </c>
      <c r="B141" s="118"/>
      <c r="C141" s="118"/>
      <c r="D141" s="118"/>
    </row>
    <row r="142" spans="1:4">
      <c r="A142" s="38" t="s">
        <v>2</v>
      </c>
      <c r="B142" s="38" t="s">
        <v>169</v>
      </c>
      <c r="C142" s="38" t="s">
        <v>95</v>
      </c>
      <c r="D142" s="38" t="s">
        <v>5</v>
      </c>
    </row>
    <row r="143" spans="1:4">
      <c r="A143" s="38" t="s">
        <v>28</v>
      </c>
      <c r="B143" t="s">
        <v>22</v>
      </c>
      <c r="D143" s="47">
        <f>Módulo13[[#Totals],[Valor]]</f>
        <v>1002.88</v>
      </c>
    </row>
    <row r="144" spans="1:4">
      <c r="A144" s="38" t="s">
        <v>31</v>
      </c>
      <c r="B144" t="s">
        <v>47</v>
      </c>
      <c r="D144" s="47">
        <f>ResumoMódulo29[[#Totals],[Valor]]</f>
        <v>893.9248</v>
      </c>
    </row>
    <row r="145" spans="1:4">
      <c r="A145" s="38" t="s">
        <v>34</v>
      </c>
      <c r="B145" t="s">
        <v>101</v>
      </c>
      <c r="D145" s="47">
        <f>Módulo324[[#Totals],[Valor]]</f>
        <v>161.74167222222218</v>
      </c>
    </row>
    <row r="146" spans="1:4">
      <c r="A146" s="38" t="s">
        <v>36</v>
      </c>
      <c r="B146" t="s">
        <v>170</v>
      </c>
      <c r="D146" s="47">
        <f>ResumoMódulo427[[#Totals],[Valor]]</f>
        <v>164.98346174968884</v>
      </c>
    </row>
    <row r="147" spans="1:4">
      <c r="A147" s="38" t="s">
        <v>39</v>
      </c>
      <c r="B147" t="s">
        <v>148</v>
      </c>
      <c r="D147" s="47" t="e">
        <f>Módulo528[[#Totals],[Valor]]</f>
        <v>#REF!</v>
      </c>
    </row>
    <row r="148" spans="1:4">
      <c r="A148" t="s">
        <v>171</v>
      </c>
      <c r="D148" s="47" t="e">
        <f>SUM(D143:D147)</f>
        <v>#REF!</v>
      </c>
    </row>
    <row r="149" spans="1:4">
      <c r="A149" s="38" t="s">
        <v>41</v>
      </c>
      <c r="B149" t="s">
        <v>160</v>
      </c>
      <c r="D149" s="47" t="e">
        <f>Módulo629[[#Totals],[Valor]]</f>
        <v>#REF!</v>
      </c>
    </row>
    <row r="150" spans="1:4">
      <c r="A150" s="73" t="s">
        <v>172</v>
      </c>
      <c r="B150" s="73"/>
      <c r="C150" s="73"/>
      <c r="D150" s="98" t="e">
        <f>(SUM(D143:D147)+D132+D133)/(100%-C134)</f>
        <v>#REF!</v>
      </c>
    </row>
  </sheetData>
  <mergeCells count="25">
    <mergeCell ref="A1:D1"/>
    <mergeCell ref="F1:G1"/>
    <mergeCell ref="F8:G8"/>
    <mergeCell ref="A9:D9"/>
    <mergeCell ref="F14:G14"/>
    <mergeCell ref="A19:D19"/>
    <mergeCell ref="A20:D20"/>
    <mergeCell ref="F22:G22"/>
    <mergeCell ref="A26:D26"/>
    <mergeCell ref="A31:D31"/>
    <mergeCell ref="A43:D43"/>
    <mergeCell ref="A47:D47"/>
    <mergeCell ref="A56:D56"/>
    <mergeCell ref="A61:D61"/>
    <mergeCell ref="A68:D68"/>
    <mergeCell ref="A78:D78"/>
    <mergeCell ref="A87:D87"/>
    <mergeCell ref="A88:D88"/>
    <mergeCell ref="A98:D98"/>
    <mergeCell ref="A104:D104"/>
    <mergeCell ref="A109:D109"/>
    <mergeCell ref="A115:D115"/>
    <mergeCell ref="A123:D123"/>
    <mergeCell ref="A130:D130"/>
    <mergeCell ref="A141:D141"/>
  </mergeCells>
  <pageMargins left="0.7" right="0.7" top="0.75" bottom="0.75" header="0.3" footer="0.3"/>
  <pageSetup paperSize="9" orientation="portrait"/>
  <legacyDrawing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U150"/>
  <sheetViews>
    <sheetView showGridLines="0" topLeftCell="D125" zoomScale="85" zoomScaleNormal="85" workbookViewId="0">
      <selection activeCell="D118" sqref="D118"/>
    </sheetView>
  </sheetViews>
  <sheetFormatPr defaultColWidth="9" defaultRowHeight="14.5" outlineLevelRow="1"/>
  <cols>
    <col min="1" max="1" width="12.453125" customWidth="1"/>
    <col min="2" max="2" width="76.453125" customWidth="1"/>
    <col min="3" max="3" width="28.453125" customWidth="1"/>
    <col min="4" max="4" width="27.453125" customWidth="1"/>
    <col min="6" max="6" width="32.7265625" customWidth="1"/>
    <col min="7" max="7" width="13" customWidth="1"/>
  </cols>
  <sheetData>
    <row r="1" spans="1:21">
      <c r="A1" s="123" t="s">
        <v>0</v>
      </c>
      <c r="B1" s="123"/>
      <c r="C1" s="123"/>
      <c r="D1" s="123"/>
      <c r="F1" s="122" t="s">
        <v>1</v>
      </c>
      <c r="G1" s="12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>
      <c r="A2" s="38" t="s">
        <v>2</v>
      </c>
      <c r="B2" t="s">
        <v>3</v>
      </c>
      <c r="C2" s="38" t="s">
        <v>4</v>
      </c>
      <c r="D2" s="38" t="s">
        <v>5</v>
      </c>
      <c r="F2" t="s">
        <v>3</v>
      </c>
      <c r="G2" t="s">
        <v>5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>
      <c r="A3" s="38">
        <v>1</v>
      </c>
      <c r="B3" t="s">
        <v>6</v>
      </c>
      <c r="C3" s="38"/>
      <c r="D3" s="38" t="s">
        <v>7</v>
      </c>
      <c r="F3" t="s">
        <v>8</v>
      </c>
      <c r="G3" s="83">
        <v>3.8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>
      <c r="A4" s="38">
        <v>2</v>
      </c>
      <c r="B4" t="s">
        <v>9</v>
      </c>
      <c r="C4" s="38"/>
      <c r="D4" s="38" t="s">
        <v>10</v>
      </c>
      <c r="F4" t="s">
        <v>11</v>
      </c>
      <c r="G4" s="83">
        <v>14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>
      <c r="A5" s="38">
        <v>3</v>
      </c>
      <c r="B5" t="s">
        <v>12</v>
      </c>
      <c r="C5" s="38" t="s">
        <v>13</v>
      </c>
      <c r="D5" s="84">
        <v>1206.74</v>
      </c>
      <c r="F5" t="s">
        <v>14</v>
      </c>
      <c r="G5" s="85">
        <v>22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>
      <c r="A6" s="38">
        <v>4</v>
      </c>
      <c r="B6" t="s">
        <v>15</v>
      </c>
      <c r="C6" s="38" t="s">
        <v>16</v>
      </c>
      <c r="D6" s="38" t="s">
        <v>173</v>
      </c>
      <c r="F6" t="s">
        <v>18</v>
      </c>
      <c r="G6" s="86">
        <v>0.03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1">
      <c r="A7" s="38">
        <v>5</v>
      </c>
      <c r="B7" t="s">
        <v>19</v>
      </c>
      <c r="C7" s="38"/>
      <c r="D7" s="38" t="s">
        <v>20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1">
      <c r="F8" s="122" t="s">
        <v>21</v>
      </c>
      <c r="G8" s="12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>
      <c r="A9" s="118" t="s">
        <v>22</v>
      </c>
      <c r="B9" s="118"/>
      <c r="C9" s="118"/>
      <c r="D9" s="118"/>
      <c r="F9" t="s">
        <v>23</v>
      </c>
      <c r="G9" t="s">
        <v>24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>
      <c r="A10" s="38" t="s">
        <v>25</v>
      </c>
      <c r="B10" t="s">
        <v>26</v>
      </c>
      <c r="C10" s="38" t="s">
        <v>4</v>
      </c>
      <c r="D10" s="38" t="s">
        <v>5</v>
      </c>
      <c r="F10" t="s">
        <v>27</v>
      </c>
      <c r="G10" s="87">
        <v>0.43369999999999997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1:21">
      <c r="A11" s="38" t="s">
        <v>28</v>
      </c>
      <c r="B11" t="s">
        <v>29</v>
      </c>
      <c r="C11" s="38"/>
      <c r="D11" s="47">
        <f>Salário_Normativo_da_Categoria_Profissional</f>
        <v>1206.74</v>
      </c>
      <c r="F11" t="s">
        <v>30</v>
      </c>
      <c r="G11" s="87">
        <v>0.43369999999999997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>
      <c r="A12" s="38" t="s">
        <v>31</v>
      </c>
      <c r="B12" t="s">
        <v>32</v>
      </c>
      <c r="C12" s="38"/>
      <c r="D12" s="47"/>
      <c r="F12" t="s">
        <v>33</v>
      </c>
      <c r="G12" s="87">
        <v>2.18E-2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>
      <c r="A13" s="38" t="s">
        <v>34</v>
      </c>
      <c r="B13" t="s">
        <v>35</v>
      </c>
      <c r="C13" s="38"/>
      <c r="D13" s="47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>
      <c r="A14" s="38" t="s">
        <v>36</v>
      </c>
      <c r="B14" t="s">
        <v>37</v>
      </c>
      <c r="C14" s="38"/>
      <c r="D14" s="47"/>
      <c r="F14" s="122" t="s">
        <v>38</v>
      </c>
      <c r="G14" s="12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1">
      <c r="A15" s="38" t="s">
        <v>39</v>
      </c>
      <c r="B15" t="s">
        <v>40</v>
      </c>
      <c r="C15" s="38"/>
      <c r="D15" s="47"/>
      <c r="F15" s="52" t="s">
        <v>3</v>
      </c>
      <c r="G15" s="52" t="s">
        <v>24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spans="1:21">
      <c r="A16" s="38" t="s">
        <v>41</v>
      </c>
      <c r="B16" t="s">
        <v>42</v>
      </c>
      <c r="C16" s="38"/>
      <c r="D16" s="47">
        <v>200</v>
      </c>
      <c r="F16" s="52" t="s">
        <v>43</v>
      </c>
      <c r="G16" s="88">
        <v>0.03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spans="1:21">
      <c r="A17" s="38" t="s">
        <v>44</v>
      </c>
      <c r="C17" s="38"/>
      <c r="D17" s="47">
        <f>SUBTOTAL(109,[Valor])</f>
        <v>1406.74</v>
      </c>
      <c r="F17" s="52" t="s">
        <v>45</v>
      </c>
      <c r="G17" s="88">
        <v>6.7900000000000002E-2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spans="1:21">
      <c r="F18" s="52" t="s">
        <v>46</v>
      </c>
      <c r="G18" s="89">
        <v>1.6500000000000001E-2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>
      <c r="A19" s="121" t="s">
        <v>47</v>
      </c>
      <c r="B19" s="121"/>
      <c r="C19" s="121"/>
      <c r="D19" s="121"/>
      <c r="F19" s="52" t="s">
        <v>48</v>
      </c>
      <c r="G19" s="89">
        <v>7.5999999999999998E-2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</row>
    <row r="20" spans="1:21">
      <c r="A20" s="122" t="s">
        <v>49</v>
      </c>
      <c r="B20" s="122"/>
      <c r="C20" s="122"/>
      <c r="D20" s="122"/>
      <c r="F20" s="52" t="s">
        <v>50</v>
      </c>
      <c r="G20" s="89">
        <v>0.05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>
      <c r="A21" s="38" t="s">
        <v>51</v>
      </c>
      <c r="B21" t="s">
        <v>52</v>
      </c>
      <c r="C21" s="38" t="s">
        <v>4</v>
      </c>
      <c r="D21" s="38" t="s">
        <v>5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spans="1:21">
      <c r="A22" s="38" t="s">
        <v>28</v>
      </c>
      <c r="B22" t="s">
        <v>53</v>
      </c>
      <c r="D22" s="47">
        <f>Módulo1379[[#Totals],[Valor]]/12</f>
        <v>117.22833333333334</v>
      </c>
      <c r="F22" s="122" t="s">
        <v>54</v>
      </c>
      <c r="G22" s="12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spans="1:21">
      <c r="A23" s="38" t="s">
        <v>31</v>
      </c>
      <c r="B23" t="s">
        <v>55</v>
      </c>
      <c r="D23" s="47">
        <f>(Módulo1379[[#Totals],[Valor]]/12)*(1/3)</f>
        <v>39.076111111111111</v>
      </c>
      <c r="E23" s="27"/>
      <c r="F23" s="38" t="s">
        <v>3</v>
      </c>
      <c r="G23" s="38" t="s">
        <v>5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spans="1:21">
      <c r="A24" s="38" t="s">
        <v>44</v>
      </c>
      <c r="D24" s="47">
        <f>SUBTOTAL(109,[Valor])</f>
        <v>156.30444444444444</v>
      </c>
      <c r="F24" s="52" t="s">
        <v>56</v>
      </c>
      <c r="G24" s="90">
        <f>((D17+D24+(D17/12))*(100%+C41))/30</f>
        <v>76.620438666666658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5" spans="1:21">
      <c r="A25" s="38"/>
      <c r="D25" s="47"/>
      <c r="F25" s="52" t="s">
        <v>57</v>
      </c>
      <c r="G25" s="90">
        <f>((D17*(1+(1/3))*(100%+C41))/12)/30</f>
        <v>7.1274826666666664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spans="1:21">
      <c r="A26" s="119" t="s">
        <v>58</v>
      </c>
      <c r="B26" s="119"/>
      <c r="C26" s="119"/>
      <c r="D26" s="119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  <row r="27" spans="1:21">
      <c r="A27" s="91" t="s">
        <v>2</v>
      </c>
      <c r="B27" s="91" t="s">
        <v>59</v>
      </c>
      <c r="C27" s="91" t="s">
        <v>60</v>
      </c>
      <c r="D27" s="92" t="s">
        <v>61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</row>
    <row r="28" spans="1:21" ht="29">
      <c r="A28" s="39" t="s">
        <v>28</v>
      </c>
      <c r="B28" s="93" t="s">
        <v>62</v>
      </c>
      <c r="C28" s="94" t="s">
        <v>63</v>
      </c>
      <c r="D28" s="93" t="s">
        <v>64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1">
      <c r="A29" s="39" t="s">
        <v>31</v>
      </c>
      <c r="B29" s="95" t="s">
        <v>55</v>
      </c>
      <c r="C29" s="94" t="s">
        <v>63</v>
      </c>
      <c r="D29" s="93" t="s">
        <v>65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spans="1:21">
      <c r="A30" s="38"/>
      <c r="B30" s="38"/>
      <c r="C30" s="55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</row>
    <row r="31" spans="1:21">
      <c r="A31" s="122" t="s">
        <v>66</v>
      </c>
      <c r="B31" s="122"/>
      <c r="C31" s="122"/>
      <c r="D31" s="122"/>
    </row>
    <row r="32" spans="1:21">
      <c r="A32" s="38" t="s">
        <v>67</v>
      </c>
      <c r="B32" t="s">
        <v>68</v>
      </c>
      <c r="C32" s="38" t="s">
        <v>24</v>
      </c>
      <c r="D32" s="38" t="s">
        <v>69</v>
      </c>
    </row>
    <row r="33" spans="1:4">
      <c r="A33" s="38" t="s">
        <v>28</v>
      </c>
      <c r="B33" t="s">
        <v>70</v>
      </c>
      <c r="C33" s="56">
        <v>0.2</v>
      </c>
      <c r="D33" s="47">
        <f>C33*(Módulo1379[[#Totals],[Valor]]+Submódulo2.1480[[#Totals],[Valor]])</f>
        <v>312.60888888888894</v>
      </c>
    </row>
    <row r="34" spans="1:4">
      <c r="A34" s="38" t="s">
        <v>31</v>
      </c>
      <c r="B34" t="s">
        <v>71</v>
      </c>
      <c r="C34" s="56">
        <v>2.5000000000000001E-2</v>
      </c>
      <c r="D34" s="47">
        <f>C34*(Módulo1379[[#Totals],[Valor]]+Submódulo2.1480[[#Totals],[Valor]])</f>
        <v>39.076111111111118</v>
      </c>
    </row>
    <row r="35" spans="1:4">
      <c r="A35" s="38" t="s">
        <v>34</v>
      </c>
      <c r="B35" t="s">
        <v>72</v>
      </c>
      <c r="C35" s="56">
        <f>Encarregado!G6</f>
        <v>0.03</v>
      </c>
      <c r="D35" s="47">
        <f>C35*(Módulo1379[[#Totals],[Valor]]+Submódulo2.1480[[#Totals],[Valor]])</f>
        <v>46.891333333333336</v>
      </c>
    </row>
    <row r="36" spans="1:4">
      <c r="A36" s="38" t="s">
        <v>36</v>
      </c>
      <c r="B36" t="s">
        <v>73</v>
      </c>
      <c r="C36" s="56">
        <v>1.4999999999999999E-2</v>
      </c>
      <c r="D36" s="47">
        <f>C36*(Módulo1379[[#Totals],[Valor]]+Submódulo2.1480[[#Totals],[Valor]])</f>
        <v>23.445666666666668</v>
      </c>
    </row>
    <row r="37" spans="1:4">
      <c r="A37" s="38" t="s">
        <v>39</v>
      </c>
      <c r="B37" t="s">
        <v>74</v>
      </c>
      <c r="C37" s="56">
        <v>0.01</v>
      </c>
      <c r="D37" s="47">
        <f>C37*(Módulo1379[[#Totals],[Valor]]+Submódulo2.1480[[#Totals],[Valor]])</f>
        <v>15.630444444444445</v>
      </c>
    </row>
    <row r="38" spans="1:4">
      <c r="A38" s="38" t="s">
        <v>41</v>
      </c>
      <c r="B38" t="s">
        <v>75</v>
      </c>
      <c r="C38" s="56">
        <v>6.0000000000000001E-3</v>
      </c>
      <c r="D38" s="47">
        <f>C38*(Módulo1379[[#Totals],[Valor]]+Submódulo2.1480[[#Totals],[Valor]])</f>
        <v>9.3782666666666668</v>
      </c>
    </row>
    <row r="39" spans="1:4">
      <c r="A39" s="38" t="s">
        <v>76</v>
      </c>
      <c r="B39" t="s">
        <v>77</v>
      </c>
      <c r="C39" s="56">
        <v>2E-3</v>
      </c>
      <c r="D39" s="47">
        <f>C39*(Módulo1379[[#Totals],[Valor]]+Submódulo2.1480[[#Totals],[Valor]])</f>
        <v>3.1260888888888889</v>
      </c>
    </row>
    <row r="40" spans="1:4">
      <c r="A40" s="38" t="s">
        <v>78</v>
      </c>
      <c r="B40" t="s">
        <v>79</v>
      </c>
      <c r="C40" s="56">
        <v>0.08</v>
      </c>
      <c r="D40" s="47">
        <f>C40*(Módulo1379[[#Totals],[Valor]]+Submódulo2.1480[[#Totals],[Valor]])</f>
        <v>125.04355555555556</v>
      </c>
    </row>
    <row r="41" spans="1:4">
      <c r="A41" s="38" t="s">
        <v>44</v>
      </c>
      <c r="C41" s="59">
        <f>SUBTOTAL(109,[Percentual])</f>
        <v>0.36800000000000005</v>
      </c>
      <c r="D41" s="47">
        <v>575.20035555555603</v>
      </c>
    </row>
    <row r="42" spans="1:4">
      <c r="A42" s="38"/>
      <c r="C42" s="59"/>
      <c r="D42" s="47"/>
    </row>
    <row r="43" spans="1:4">
      <c r="A43" s="119" t="s">
        <v>80</v>
      </c>
      <c r="B43" s="119"/>
      <c r="C43" s="119"/>
      <c r="D43" s="119"/>
    </row>
    <row r="44" spans="1:4">
      <c r="A44" s="91" t="s">
        <v>2</v>
      </c>
      <c r="B44" s="91" t="s">
        <v>59</v>
      </c>
      <c r="C44" s="91" t="s">
        <v>60</v>
      </c>
      <c r="D44" s="92" t="s">
        <v>61</v>
      </c>
    </row>
    <row r="45" spans="1:4" ht="29">
      <c r="A45" s="39" t="s">
        <v>81</v>
      </c>
      <c r="B45" s="93" t="s">
        <v>68</v>
      </c>
      <c r="C45" s="93" t="s">
        <v>82</v>
      </c>
      <c r="D45" s="93" t="s">
        <v>83</v>
      </c>
    </row>
    <row r="47" spans="1:4">
      <c r="A47" s="122" t="s">
        <v>84</v>
      </c>
      <c r="B47" s="122"/>
      <c r="C47" s="122"/>
      <c r="D47" s="122"/>
    </row>
    <row r="48" spans="1:4">
      <c r="A48" s="38" t="s">
        <v>85</v>
      </c>
      <c r="B48" t="s">
        <v>86</v>
      </c>
      <c r="C48" s="38" t="s">
        <v>4</v>
      </c>
      <c r="D48" s="38" t="s">
        <v>5</v>
      </c>
    </row>
    <row r="49" spans="1:4">
      <c r="A49" s="38" t="s">
        <v>28</v>
      </c>
      <c r="B49" t="s">
        <v>87</v>
      </c>
      <c r="D49" s="47">
        <f>IF(G3=0,0,(Encarregado!G3*2*Encarregado!G5)-(6%*_1A))</f>
        <v>94.795599999999993</v>
      </c>
    </row>
    <row r="50" spans="1:4">
      <c r="A50" s="38" t="s">
        <v>31</v>
      </c>
      <c r="B50" t="s">
        <v>88</v>
      </c>
      <c r="D50" s="47">
        <f>(Encarregado!G4*Encarregado!G5)*80%</f>
        <v>246.4</v>
      </c>
    </row>
    <row r="51" spans="1:4">
      <c r="A51" s="38" t="s">
        <v>34</v>
      </c>
      <c r="B51" t="s">
        <v>89</v>
      </c>
      <c r="D51" s="47"/>
    </row>
    <row r="52" spans="1:4">
      <c r="A52" s="38" t="s">
        <v>36</v>
      </c>
      <c r="B52" t="s">
        <v>90</v>
      </c>
      <c r="C52" t="s">
        <v>91</v>
      </c>
      <c r="D52" s="47">
        <v>4</v>
      </c>
    </row>
    <row r="53" spans="1:4">
      <c r="A53" s="38" t="s">
        <v>39</v>
      </c>
      <c r="B53" t="s">
        <v>92</v>
      </c>
      <c r="C53" t="s">
        <v>93</v>
      </c>
      <c r="D53" s="47">
        <v>15</v>
      </c>
    </row>
    <row r="54" spans="1:4">
      <c r="A54" s="38" t="s">
        <v>44</v>
      </c>
      <c r="D54" s="47">
        <f>SUBTOTAL(109,[Valor])</f>
        <v>360.19560000000001</v>
      </c>
    </row>
    <row r="55" spans="1:4">
      <c r="A55" s="38"/>
      <c r="D55" s="47"/>
    </row>
    <row r="56" spans="1:4">
      <c r="A56" s="119" t="s">
        <v>94</v>
      </c>
      <c r="B56" s="119"/>
      <c r="C56" s="119"/>
      <c r="D56" s="119"/>
    </row>
    <row r="57" spans="1:4">
      <c r="A57" s="91" t="s">
        <v>2</v>
      </c>
      <c r="B57" s="91" t="s">
        <v>59</v>
      </c>
      <c r="C57" s="91" t="s">
        <v>60</v>
      </c>
      <c r="D57" s="91" t="s">
        <v>61</v>
      </c>
    </row>
    <row r="58" spans="1:4" ht="43.5">
      <c r="A58" s="39" t="s">
        <v>28</v>
      </c>
      <c r="B58" s="93" t="s">
        <v>87</v>
      </c>
      <c r="C58" s="94" t="s">
        <v>95</v>
      </c>
      <c r="D58" s="94" t="s">
        <v>96</v>
      </c>
    </row>
    <row r="59" spans="1:4" ht="29">
      <c r="A59" s="39" t="s">
        <v>31</v>
      </c>
      <c r="B59" s="95" t="s">
        <v>88</v>
      </c>
      <c r="C59" s="94" t="s">
        <v>95</v>
      </c>
      <c r="D59" s="94" t="s">
        <v>97</v>
      </c>
    </row>
    <row r="60" spans="1:4" ht="19.5" customHeight="1">
      <c r="A60" s="38"/>
      <c r="D60" s="47"/>
    </row>
    <row r="61" spans="1:4">
      <c r="A61" s="122" t="s">
        <v>98</v>
      </c>
      <c r="B61" s="122"/>
      <c r="C61" s="122"/>
      <c r="D61" s="122"/>
    </row>
    <row r="62" spans="1:4">
      <c r="A62" s="38" t="s">
        <v>99</v>
      </c>
      <c r="B62" t="s">
        <v>100</v>
      </c>
      <c r="C62" s="38" t="s">
        <v>4</v>
      </c>
      <c r="D62" s="38" t="s">
        <v>5</v>
      </c>
    </row>
    <row r="63" spans="1:4">
      <c r="A63" s="38" t="s">
        <v>51</v>
      </c>
      <c r="B63" t="s">
        <v>52</v>
      </c>
      <c r="C63" s="38"/>
      <c r="D63" s="47">
        <f>Submódulo2.1480[[#Totals],[Valor]]</f>
        <v>156.30444444444444</v>
      </c>
    </row>
    <row r="64" spans="1:4">
      <c r="A64" s="38" t="s">
        <v>67</v>
      </c>
      <c r="B64" t="s">
        <v>68</v>
      </c>
      <c r="C64" s="38"/>
      <c r="D64" s="47">
        <f>Submódulo2.2681[[#Totals],[Valor ]]</f>
        <v>575.20035555555603</v>
      </c>
    </row>
    <row r="65" spans="1:4">
      <c r="A65" s="38" t="s">
        <v>85</v>
      </c>
      <c r="B65" t="s">
        <v>86</v>
      </c>
      <c r="C65" s="38"/>
      <c r="D65" s="47">
        <f>Submódulo2.3882[[#Totals],[Valor]]</f>
        <v>360.19560000000001</v>
      </c>
    </row>
    <row r="66" spans="1:4">
      <c r="A66" s="38" t="s">
        <v>44</v>
      </c>
      <c r="C66" s="38"/>
      <c r="D66" s="47">
        <v>1091.7003999999999</v>
      </c>
    </row>
    <row r="68" spans="1:4">
      <c r="A68" s="118" t="s">
        <v>101</v>
      </c>
      <c r="B68" s="118"/>
      <c r="C68" s="118"/>
      <c r="D68" s="118"/>
    </row>
    <row r="69" spans="1:4">
      <c r="A69" s="38" t="s">
        <v>102</v>
      </c>
      <c r="B69" t="s">
        <v>103</v>
      </c>
      <c r="C69" s="38" t="s">
        <v>4</v>
      </c>
      <c r="D69" s="38" t="s">
        <v>5</v>
      </c>
    </row>
    <row r="70" spans="1:4">
      <c r="A70" s="38" t="s">
        <v>28</v>
      </c>
      <c r="B70" t="s">
        <v>104</v>
      </c>
      <c r="D70" s="47">
        <f>((Módulo1379[[#Totals],[Valor]]+D63+D65)/12)*G10</f>
        <v>69.5091006062963</v>
      </c>
    </row>
    <row r="71" spans="1:4">
      <c r="A71" s="38" t="s">
        <v>31</v>
      </c>
      <c r="B71" t="s">
        <v>105</v>
      </c>
      <c r="D71" s="47">
        <f>(D40/12)*Encarregado!G10</f>
        <v>4.5192825037037032</v>
      </c>
    </row>
    <row r="72" spans="1:4">
      <c r="A72" s="38" t="s">
        <v>34</v>
      </c>
      <c r="B72" t="s">
        <v>106</v>
      </c>
      <c r="D72" s="47">
        <f>D40*50%*Encarregado!G10</f>
        <v>27.115695022222219</v>
      </c>
    </row>
    <row r="73" spans="1:4">
      <c r="A73" s="38" t="s">
        <v>36</v>
      </c>
      <c r="B73" t="s">
        <v>107</v>
      </c>
      <c r="D73" s="47">
        <f>((Módulo1379[[#Totals],[Valor]]+ResumoMódulo2983[[#Totals],[Valor]])/12)*G11</f>
        <v>90.297800123333317</v>
      </c>
    </row>
    <row r="74" spans="1:4">
      <c r="A74" s="38" t="s">
        <v>39</v>
      </c>
      <c r="B74" t="s">
        <v>108</v>
      </c>
      <c r="D74" s="47">
        <f>D40*50%*Encarregado!G11</f>
        <v>27.115695022222219</v>
      </c>
    </row>
    <row r="75" spans="1:4">
      <c r="A75" s="38" t="s">
        <v>41</v>
      </c>
      <c r="B75" t="s">
        <v>109</v>
      </c>
      <c r="D75" s="47">
        <f>-D63*Encarregado!G12</f>
        <v>-3.4074368888888888</v>
      </c>
    </row>
    <row r="76" spans="1:4">
      <c r="A76" s="38" t="s">
        <v>44</v>
      </c>
      <c r="D76" s="47">
        <v>215.150136388889</v>
      </c>
    </row>
    <row r="77" spans="1:4">
      <c r="A77" s="38"/>
      <c r="D77" s="47"/>
    </row>
    <row r="78" spans="1:4">
      <c r="A78" s="119" t="s">
        <v>110</v>
      </c>
      <c r="B78" s="119"/>
      <c r="C78" s="119"/>
      <c r="D78" s="119"/>
    </row>
    <row r="79" spans="1:4">
      <c r="A79" s="91" t="s">
        <v>2</v>
      </c>
      <c r="B79" s="91" t="s">
        <v>59</v>
      </c>
      <c r="C79" s="91" t="s">
        <v>60</v>
      </c>
      <c r="D79" s="91" t="s">
        <v>61</v>
      </c>
    </row>
    <row r="80" spans="1:4" ht="58">
      <c r="A80" s="39" t="s">
        <v>28</v>
      </c>
      <c r="B80" s="93" t="s">
        <v>104</v>
      </c>
      <c r="C80" s="94" t="s">
        <v>111</v>
      </c>
      <c r="D80" s="94" t="s">
        <v>112</v>
      </c>
    </row>
    <row r="81" spans="1:5" ht="58">
      <c r="A81" s="39" t="s">
        <v>31</v>
      </c>
      <c r="B81" s="95" t="s">
        <v>105</v>
      </c>
      <c r="C81" s="94" t="s">
        <v>113</v>
      </c>
      <c r="D81" s="94" t="s">
        <v>112</v>
      </c>
    </row>
    <row r="82" spans="1:5" ht="72.5">
      <c r="A82" s="39" t="s">
        <v>34</v>
      </c>
      <c r="B82" s="95" t="s">
        <v>106</v>
      </c>
      <c r="C82" s="94" t="s">
        <v>113</v>
      </c>
      <c r="D82" s="96" t="s">
        <v>114</v>
      </c>
    </row>
    <row r="83" spans="1:5" ht="58">
      <c r="A83" s="39" t="s">
        <v>36</v>
      </c>
      <c r="B83" s="97" t="s">
        <v>107</v>
      </c>
      <c r="C83" s="94" t="s">
        <v>115</v>
      </c>
      <c r="D83" s="96" t="s">
        <v>116</v>
      </c>
    </row>
    <row r="84" spans="1:5" ht="72.5">
      <c r="A84" s="39" t="s">
        <v>39</v>
      </c>
      <c r="B84" s="97" t="s">
        <v>108</v>
      </c>
      <c r="C84" s="94" t="s">
        <v>113</v>
      </c>
      <c r="D84" s="96" t="s">
        <v>117</v>
      </c>
    </row>
    <row r="85" spans="1:5" ht="58">
      <c r="A85" s="39" t="s">
        <v>41</v>
      </c>
      <c r="B85" s="97" t="s">
        <v>109</v>
      </c>
      <c r="C85" s="94" t="s">
        <v>118</v>
      </c>
      <c r="D85" s="96" t="s">
        <v>119</v>
      </c>
    </row>
    <row r="87" spans="1:5">
      <c r="A87" s="120" t="s">
        <v>120</v>
      </c>
      <c r="B87" s="121"/>
      <c r="C87" s="121"/>
      <c r="D87" s="121"/>
    </row>
    <row r="88" spans="1:5">
      <c r="A88" s="117" t="s">
        <v>121</v>
      </c>
      <c r="B88" s="117"/>
      <c r="C88" s="117"/>
      <c r="D88" s="117"/>
    </row>
    <row r="89" spans="1:5">
      <c r="A89" s="38" t="s">
        <v>122</v>
      </c>
      <c r="B89" t="s">
        <v>123</v>
      </c>
      <c r="C89" s="38" t="s">
        <v>124</v>
      </c>
      <c r="D89" s="38" t="s">
        <v>5</v>
      </c>
    </row>
    <row r="90" spans="1:5">
      <c r="A90" s="38" t="s">
        <v>28</v>
      </c>
      <c r="B90" t="s">
        <v>125</v>
      </c>
      <c r="C90" s="38">
        <v>30</v>
      </c>
      <c r="D90" s="47">
        <f t="shared" ref="D90:D95" si="0">(C90*G$24)/12</f>
        <v>191.55109666666667</v>
      </c>
      <c r="E90" s="27"/>
    </row>
    <row r="91" spans="1:5">
      <c r="A91" s="38" t="s">
        <v>31</v>
      </c>
      <c r="B91" t="s">
        <v>126</v>
      </c>
      <c r="C91" s="38">
        <v>1.4180999999999999</v>
      </c>
      <c r="D91" s="47">
        <f t="shared" si="0"/>
        <v>9.0546203394333329</v>
      </c>
      <c r="E91" s="27"/>
    </row>
    <row r="92" spans="1:5">
      <c r="A92" s="38" t="s">
        <v>34</v>
      </c>
      <c r="B92" t="s">
        <v>127</v>
      </c>
      <c r="C92" s="38">
        <v>0.1898</v>
      </c>
      <c r="D92" s="47">
        <f t="shared" si="0"/>
        <v>1.2118799382444443</v>
      </c>
      <c r="E92" s="27"/>
    </row>
    <row r="93" spans="1:5">
      <c r="A93" s="38" t="s">
        <v>36</v>
      </c>
      <c r="B93" t="s">
        <v>128</v>
      </c>
      <c r="C93" s="38">
        <v>0.95450000000000002</v>
      </c>
      <c r="D93" s="47">
        <f t="shared" si="0"/>
        <v>6.0945173922777771</v>
      </c>
      <c r="E93" s="27"/>
    </row>
    <row r="94" spans="1:5">
      <c r="A94" s="38" t="s">
        <v>39</v>
      </c>
      <c r="B94" t="s">
        <v>129</v>
      </c>
      <c r="C94" s="38">
        <v>2.4723000000000002</v>
      </c>
      <c r="D94" s="47">
        <f>(C94*G$25)/12</f>
        <v>1.4684396164000002</v>
      </c>
      <c r="E94" s="27"/>
    </row>
    <row r="95" spans="1:5">
      <c r="A95" s="38" t="s">
        <v>41</v>
      </c>
      <c r="B95" t="s">
        <v>130</v>
      </c>
      <c r="C95" s="38">
        <v>3.4521000000000002</v>
      </c>
      <c r="D95" s="47">
        <f t="shared" si="0"/>
        <v>22.041784693433332</v>
      </c>
      <c r="E95" s="27"/>
    </row>
    <row r="96" spans="1:5">
      <c r="A96" s="38" t="s">
        <v>44</v>
      </c>
      <c r="C96" s="38">
        <f>SUBTOTAL(109,[Dias de ausência])</f>
        <v>38.486800000000002</v>
      </c>
      <c r="D96" s="47">
        <f>SUBTOTAL(109,[Valor])</f>
        <v>231.42233864645553</v>
      </c>
    </row>
    <row r="97" spans="1:4">
      <c r="A97" s="38"/>
      <c r="C97" s="38"/>
      <c r="D97" s="47"/>
    </row>
    <row r="98" spans="1:4">
      <c r="A98" s="119" t="s">
        <v>131</v>
      </c>
      <c r="B98" s="119"/>
      <c r="C98" s="119"/>
      <c r="D98" s="119"/>
    </row>
    <row r="99" spans="1:4">
      <c r="A99" s="91" t="s">
        <v>2</v>
      </c>
      <c r="B99" s="91" t="s">
        <v>59</v>
      </c>
      <c r="C99" s="91" t="s">
        <v>60</v>
      </c>
      <c r="D99" s="91" t="s">
        <v>61</v>
      </c>
    </row>
    <row r="100" spans="1:4">
      <c r="A100" s="39" t="s">
        <v>132</v>
      </c>
      <c r="B100" s="93" t="s">
        <v>133</v>
      </c>
      <c r="C100" s="94"/>
      <c r="D100" s="94"/>
    </row>
    <row r="101" spans="1:4" ht="58">
      <c r="A101" s="39" t="s">
        <v>134</v>
      </c>
      <c r="B101" s="95" t="s">
        <v>135</v>
      </c>
      <c r="C101" s="94" t="s">
        <v>136</v>
      </c>
      <c r="D101" s="94" t="s">
        <v>137</v>
      </c>
    </row>
    <row r="102" spans="1:4" ht="58">
      <c r="A102" s="39" t="s">
        <v>39</v>
      </c>
      <c r="B102" s="95" t="s">
        <v>138</v>
      </c>
      <c r="C102" s="94" t="s">
        <v>139</v>
      </c>
      <c r="D102" s="94" t="s">
        <v>137</v>
      </c>
    </row>
    <row r="103" spans="1:4">
      <c r="A103" s="38"/>
      <c r="C103" s="38"/>
      <c r="D103" s="47"/>
    </row>
    <row r="104" spans="1:4">
      <c r="A104" s="122" t="s">
        <v>140</v>
      </c>
      <c r="B104" s="122"/>
      <c r="C104" s="122"/>
      <c r="D104" s="122"/>
    </row>
    <row r="105" spans="1:4">
      <c r="A105" s="38" t="s">
        <v>141</v>
      </c>
      <c r="B105" t="s">
        <v>142</v>
      </c>
      <c r="C105" s="38" t="s">
        <v>4</v>
      </c>
      <c r="D105" s="38" t="s">
        <v>5</v>
      </c>
    </row>
    <row r="106" spans="1:4">
      <c r="A106" s="38" t="s">
        <v>28</v>
      </c>
      <c r="B106" t="s">
        <v>143</v>
      </c>
      <c r="C106" s="38"/>
      <c r="D106" s="47"/>
    </row>
    <row r="107" spans="1:4">
      <c r="A107" s="38" t="s">
        <v>44</v>
      </c>
      <c r="C107" s="38"/>
      <c r="D107" s="47">
        <f>SUBTOTAL(109,[Valor])</f>
        <v>0</v>
      </c>
    </row>
    <row r="109" spans="1:4">
      <c r="A109" s="117" t="s">
        <v>144</v>
      </c>
      <c r="B109" s="117"/>
      <c r="C109" s="117"/>
      <c r="D109" s="117"/>
    </row>
    <row r="110" spans="1:4">
      <c r="A110" s="38" t="s">
        <v>145</v>
      </c>
      <c r="B110" t="s">
        <v>146</v>
      </c>
      <c r="C110" s="38" t="s">
        <v>4</v>
      </c>
      <c r="D110" s="38" t="s">
        <v>5</v>
      </c>
    </row>
    <row r="111" spans="1:4">
      <c r="A111" s="38" t="s">
        <v>122</v>
      </c>
      <c r="B111" t="s">
        <v>123</v>
      </c>
      <c r="D111" s="47">
        <f>Submódulo4.12585[[#Totals],[Valor]]</f>
        <v>231.42233864645553</v>
      </c>
    </row>
    <row r="112" spans="1:4">
      <c r="A112" s="38" t="s">
        <v>141</v>
      </c>
      <c r="B112" t="s">
        <v>147</v>
      </c>
      <c r="D112" s="47">
        <f>Submódulo4.22686[[#Totals],[Valor]]</f>
        <v>0</v>
      </c>
    </row>
    <row r="113" spans="1:4">
      <c r="A113" s="38" t="s">
        <v>44</v>
      </c>
      <c r="D113" s="47">
        <f>SUBTOTAL(109,[Valor])</f>
        <v>231.42233864645553</v>
      </c>
    </row>
    <row r="115" spans="1:4">
      <c r="A115" s="118" t="s">
        <v>148</v>
      </c>
      <c r="B115" s="118"/>
      <c r="C115" s="118"/>
      <c r="D115" s="118"/>
    </row>
    <row r="116" spans="1:4">
      <c r="A116" s="38" t="s">
        <v>149</v>
      </c>
      <c r="B116" t="s">
        <v>150</v>
      </c>
      <c r="C116" s="38" t="s">
        <v>4</v>
      </c>
      <c r="D116" s="38" t="s">
        <v>5</v>
      </c>
    </row>
    <row r="117" spans="1:4">
      <c r="A117" s="38" t="s">
        <v>28</v>
      </c>
      <c r="B117" t="s">
        <v>151</v>
      </c>
      <c r="D117" s="47" t="e">
        <f>#REF!</f>
        <v>#REF!</v>
      </c>
    </row>
    <row r="118" spans="1:4">
      <c r="A118" s="38" t="s">
        <v>31</v>
      </c>
      <c r="B118" t="s">
        <v>152</v>
      </c>
      <c r="D118" s="47"/>
    </row>
    <row r="119" spans="1:4">
      <c r="A119" s="38" t="s">
        <v>34</v>
      </c>
      <c r="B119" t="s">
        <v>153</v>
      </c>
      <c r="D119" s="47"/>
    </row>
    <row r="120" spans="1:4">
      <c r="A120" s="38" t="s">
        <v>36</v>
      </c>
      <c r="B120" t="s">
        <v>154</v>
      </c>
      <c r="D120" s="47"/>
    </row>
    <row r="121" spans="1:4">
      <c r="A121" s="38" t="s">
        <v>44</v>
      </c>
      <c r="D121" s="47" t="e">
        <f>SUBTOTAL(109,[Valor])</f>
        <v>#REF!</v>
      </c>
    </row>
    <row r="122" spans="1:4">
      <c r="A122" s="38"/>
      <c r="D122" s="47"/>
    </row>
    <row r="123" spans="1:4">
      <c r="A123" s="119" t="s">
        <v>155</v>
      </c>
      <c r="B123" s="119"/>
      <c r="C123" s="119"/>
      <c r="D123" s="119"/>
    </row>
    <row r="124" spans="1:4">
      <c r="A124" s="91" t="s">
        <v>2</v>
      </c>
      <c r="B124" s="91" t="s">
        <v>59</v>
      </c>
      <c r="C124" s="91" t="s">
        <v>60</v>
      </c>
      <c r="D124" s="91" t="s">
        <v>61</v>
      </c>
    </row>
    <row r="125" spans="1:4">
      <c r="A125" s="39" t="s">
        <v>28</v>
      </c>
      <c r="B125" s="93" t="s">
        <v>151</v>
      </c>
      <c r="C125" s="94" t="s">
        <v>156</v>
      </c>
      <c r="D125" s="94"/>
    </row>
    <row r="126" spans="1:4" ht="29">
      <c r="A126" s="39" t="s">
        <v>31</v>
      </c>
      <c r="B126" s="95" t="s">
        <v>152</v>
      </c>
      <c r="C126" s="94" t="s">
        <v>157</v>
      </c>
      <c r="D126" s="94" t="s">
        <v>158</v>
      </c>
    </row>
    <row r="127" spans="1:4" ht="29">
      <c r="A127" s="39" t="s">
        <v>34</v>
      </c>
      <c r="B127" s="95" t="s">
        <v>153</v>
      </c>
      <c r="C127" s="94" t="s">
        <v>159</v>
      </c>
      <c r="D127" s="94" t="s">
        <v>158</v>
      </c>
    </row>
    <row r="128" spans="1:4">
      <c r="A128" s="39" t="s">
        <v>36</v>
      </c>
      <c r="B128" s="95" t="s">
        <v>154</v>
      </c>
      <c r="C128" s="94"/>
      <c r="D128" s="94"/>
    </row>
    <row r="130" spans="1:4">
      <c r="A130" s="118" t="s">
        <v>160</v>
      </c>
      <c r="B130" s="118"/>
      <c r="C130" s="118"/>
      <c r="D130" s="118"/>
    </row>
    <row r="131" spans="1:4" outlineLevel="1">
      <c r="A131" s="38" t="s">
        <v>161</v>
      </c>
      <c r="B131" t="s">
        <v>162</v>
      </c>
      <c r="C131" s="38" t="s">
        <v>24</v>
      </c>
      <c r="D131" s="38" t="s">
        <v>5</v>
      </c>
    </row>
    <row r="132" spans="1:4" outlineLevel="1">
      <c r="A132" s="38" t="s">
        <v>28</v>
      </c>
      <c r="B132" t="s">
        <v>163</v>
      </c>
      <c r="C132" s="56">
        <f>G16</f>
        <v>0.03</v>
      </c>
      <c r="D132" s="47" t="e">
        <f>Módulo62989[[#This Row],[Percentual]]*(D143+D144+D145+D146+D147)</f>
        <v>#REF!</v>
      </c>
    </row>
    <row r="133" spans="1:4" outlineLevel="1">
      <c r="A133" s="38" t="s">
        <v>31</v>
      </c>
      <c r="B133" t="s">
        <v>45</v>
      </c>
      <c r="C133" s="56">
        <f>G17</f>
        <v>6.7900000000000002E-2</v>
      </c>
      <c r="D133" s="47" t="e">
        <f>(SUM(D143:D147)+D132)*Módulo62989[[#This Row],[Percentual]]</f>
        <v>#REF!</v>
      </c>
    </row>
    <row r="134" spans="1:4">
      <c r="A134" s="38" t="s">
        <v>34</v>
      </c>
      <c r="B134" t="s">
        <v>164</v>
      </c>
      <c r="C134" s="56">
        <f>SUM(C135:C137)</f>
        <v>0.14249999999999999</v>
      </c>
      <c r="D134" s="47" t="e">
        <f>Módulo62989[[#This Row],[Percentual]]*D150</f>
        <v>#REF!</v>
      </c>
    </row>
    <row r="135" spans="1:4">
      <c r="A135" s="38" t="s">
        <v>165</v>
      </c>
      <c r="B135" t="s">
        <v>46</v>
      </c>
      <c r="C135" s="56">
        <f>G18</f>
        <v>1.6500000000000001E-2</v>
      </c>
      <c r="D135" s="47" t="e">
        <f>Módulo62989[[#This Row],[Percentual]]*D150</f>
        <v>#REF!</v>
      </c>
    </row>
    <row r="136" spans="1:4">
      <c r="A136" s="38" t="s">
        <v>166</v>
      </c>
      <c r="B136" t="s">
        <v>48</v>
      </c>
      <c r="C136" s="56">
        <f>G19</f>
        <v>7.5999999999999998E-2</v>
      </c>
      <c r="D136" s="47" t="e">
        <f>Módulo62989[[#This Row],[Percentual]]*D150</f>
        <v>#REF!</v>
      </c>
    </row>
    <row r="137" spans="1:4">
      <c r="A137" s="38" t="s">
        <v>167</v>
      </c>
      <c r="B137" t="s">
        <v>50</v>
      </c>
      <c r="C137" s="56">
        <f>G20</f>
        <v>0.05</v>
      </c>
      <c r="D137" s="47" t="e">
        <f>Módulo62989[[#This Row],[Percentual]]*D150</f>
        <v>#REF!</v>
      </c>
    </row>
    <row r="138" spans="1:4">
      <c r="A138" s="38" t="s">
        <v>44</v>
      </c>
      <c r="C138" s="71"/>
      <c r="D138" s="47" t="e">
        <f>SUM(D132:D134)</f>
        <v>#REF!</v>
      </c>
    </row>
    <row r="139" spans="1:4">
      <c r="A139" s="38"/>
      <c r="C139" s="71"/>
      <c r="D139" s="47"/>
    </row>
    <row r="141" spans="1:4">
      <c r="A141" s="118" t="s">
        <v>168</v>
      </c>
      <c r="B141" s="118"/>
      <c r="C141" s="118"/>
      <c r="D141" s="118"/>
    </row>
    <row r="142" spans="1:4">
      <c r="A142" s="38" t="s">
        <v>2</v>
      </c>
      <c r="B142" s="38" t="s">
        <v>169</v>
      </c>
      <c r="C142" s="38" t="s">
        <v>95</v>
      </c>
      <c r="D142" s="38" t="s">
        <v>5</v>
      </c>
    </row>
    <row r="143" spans="1:4">
      <c r="A143" s="38" t="s">
        <v>28</v>
      </c>
      <c r="B143" t="s">
        <v>22</v>
      </c>
      <c r="D143" s="47">
        <f>Módulo1379[[#Totals],[Valor]]</f>
        <v>1406.74</v>
      </c>
    </row>
    <row r="144" spans="1:4">
      <c r="A144" s="38" t="s">
        <v>31</v>
      </c>
      <c r="B144" t="s">
        <v>47</v>
      </c>
      <c r="D144" s="47">
        <f>ResumoMódulo2983[[#Totals],[Valor]]</f>
        <v>1091.7003999999999</v>
      </c>
    </row>
    <row r="145" spans="1:4">
      <c r="A145" s="38" t="s">
        <v>34</v>
      </c>
      <c r="B145" t="s">
        <v>101</v>
      </c>
      <c r="D145" s="47">
        <f>Módulo32484[[#Totals],[Valor]]</f>
        <v>215.150136388889</v>
      </c>
    </row>
    <row r="146" spans="1:4">
      <c r="A146" s="38" t="s">
        <v>36</v>
      </c>
      <c r="B146" t="s">
        <v>170</v>
      </c>
      <c r="D146" s="47">
        <f>ResumoMódulo42787[[#Totals],[Valor]]</f>
        <v>231.42233864645553</v>
      </c>
    </row>
    <row r="147" spans="1:4">
      <c r="A147" s="38" t="s">
        <v>39</v>
      </c>
      <c r="B147" t="s">
        <v>148</v>
      </c>
      <c r="D147" s="47" t="e">
        <f>Módulo52888[[#Totals],[Valor]]</f>
        <v>#REF!</v>
      </c>
    </row>
    <row r="148" spans="1:4">
      <c r="A148" t="s">
        <v>171</v>
      </c>
      <c r="D148" s="47" t="e">
        <f>SUM(D143:D147)</f>
        <v>#REF!</v>
      </c>
    </row>
    <row r="149" spans="1:4">
      <c r="A149" s="38" t="s">
        <v>41</v>
      </c>
      <c r="B149" t="s">
        <v>160</v>
      </c>
      <c r="D149" s="47" t="e">
        <f>Módulo62989[[#Totals],[Valor]]</f>
        <v>#REF!</v>
      </c>
    </row>
    <row r="150" spans="1:4">
      <c r="A150" s="73" t="s">
        <v>172</v>
      </c>
      <c r="B150" s="73"/>
      <c r="C150" s="73"/>
      <c r="D150" s="98" t="e">
        <f>(SUM(D143:D147)+D132+D133)/(100%-C134)</f>
        <v>#REF!</v>
      </c>
    </row>
  </sheetData>
  <mergeCells count="25">
    <mergeCell ref="A1:D1"/>
    <mergeCell ref="F1:G1"/>
    <mergeCell ref="F8:G8"/>
    <mergeCell ref="A9:D9"/>
    <mergeCell ref="F14:G14"/>
    <mergeCell ref="A19:D19"/>
    <mergeCell ref="A20:D20"/>
    <mergeCell ref="F22:G22"/>
    <mergeCell ref="A26:D26"/>
    <mergeCell ref="A31:D31"/>
    <mergeCell ref="A43:D43"/>
    <mergeCell ref="A47:D47"/>
    <mergeCell ref="A56:D56"/>
    <mergeCell ref="A61:D61"/>
    <mergeCell ref="A68:D68"/>
    <mergeCell ref="A78:D78"/>
    <mergeCell ref="A87:D87"/>
    <mergeCell ref="A88:D88"/>
    <mergeCell ref="A98:D98"/>
    <mergeCell ref="A104:D104"/>
    <mergeCell ref="A109:D109"/>
    <mergeCell ref="A115:D115"/>
    <mergeCell ref="A123:D123"/>
    <mergeCell ref="A130:D130"/>
    <mergeCell ref="A141:D141"/>
  </mergeCells>
  <pageMargins left="0.7" right="0.7" top="0.75" bottom="0.75" header="0.3" footer="0.3"/>
  <pageSetup paperSize="9" orientation="portrait"/>
  <legacyDrawing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I31" sqref="I31"/>
    </sheetView>
  </sheetViews>
  <sheetFormatPr defaultColWidth="9" defaultRowHeight="14.5"/>
  <cols>
    <col min="1" max="1" width="4.6328125" customWidth="1"/>
    <col min="2" max="2" width="39.453125" style="60" customWidth="1"/>
    <col min="3" max="3" width="10.6328125" customWidth="1"/>
    <col min="4" max="4" width="7.453125" bestFit="1" customWidth="1"/>
    <col min="5" max="5" width="24.26953125" bestFit="1" customWidth="1"/>
    <col min="6" max="6" width="19.6328125" customWidth="1"/>
    <col min="7" max="7" width="18.90625" customWidth="1"/>
    <col min="8" max="8" width="9.81640625" bestFit="1" customWidth="1"/>
  </cols>
  <sheetData>
    <row r="1" spans="1:8">
      <c r="A1" s="126" t="s">
        <v>248</v>
      </c>
      <c r="B1" s="126"/>
      <c r="C1" s="126"/>
      <c r="D1" s="126"/>
      <c r="E1" s="126"/>
      <c r="F1" s="126"/>
      <c r="G1" s="126"/>
      <c r="H1" s="126"/>
    </row>
    <row r="2" spans="1:8">
      <c r="A2" s="125" t="s">
        <v>174</v>
      </c>
      <c r="B2" s="125"/>
      <c r="C2" s="125"/>
      <c r="D2" s="125"/>
      <c r="E2" s="125"/>
      <c r="F2" s="125"/>
      <c r="G2" s="125"/>
      <c r="H2" s="125"/>
    </row>
    <row r="3" spans="1:8">
      <c r="A3" s="77" t="s">
        <v>2</v>
      </c>
      <c r="B3" s="114" t="s">
        <v>3</v>
      </c>
      <c r="C3" s="77" t="s">
        <v>175</v>
      </c>
      <c r="D3" s="77" t="s">
        <v>176</v>
      </c>
      <c r="E3" s="77" t="s">
        <v>177</v>
      </c>
      <c r="F3" s="77" t="s">
        <v>178</v>
      </c>
      <c r="G3" s="77" t="s">
        <v>179</v>
      </c>
      <c r="H3" s="77" t="s">
        <v>180</v>
      </c>
    </row>
    <row r="4" spans="1:8" ht="29">
      <c r="A4" s="78">
        <v>1</v>
      </c>
      <c r="B4" s="115" t="s">
        <v>181</v>
      </c>
      <c r="C4" s="79">
        <v>2</v>
      </c>
      <c r="D4" s="79" t="s">
        <v>182</v>
      </c>
      <c r="E4" s="80">
        <v>1100</v>
      </c>
      <c r="F4" s="81"/>
      <c r="G4" s="81">
        <f>F4*12</f>
        <v>0</v>
      </c>
      <c r="H4" s="81">
        <f>G4*C4</f>
        <v>0</v>
      </c>
    </row>
    <row r="5" spans="1:8">
      <c r="A5" s="78">
        <v>2</v>
      </c>
      <c r="B5" s="116" t="s">
        <v>183</v>
      </c>
      <c r="C5" s="79">
        <v>2</v>
      </c>
      <c r="D5" s="79" t="s">
        <v>184</v>
      </c>
      <c r="E5" s="80">
        <v>1100</v>
      </c>
      <c r="F5" s="81"/>
      <c r="G5" s="81">
        <f t="shared" ref="G5:G13" si="0">F5*12</f>
        <v>0</v>
      </c>
      <c r="H5" s="81">
        <f t="shared" ref="H5:H13" si="1">G5*C5</f>
        <v>0</v>
      </c>
    </row>
    <row r="6" spans="1:8">
      <c r="A6" s="78">
        <v>3</v>
      </c>
      <c r="B6" s="116" t="s">
        <v>185</v>
      </c>
      <c r="C6" s="79">
        <v>30</v>
      </c>
      <c r="D6" s="79">
        <v>4221</v>
      </c>
      <c r="E6" s="80">
        <v>1100</v>
      </c>
      <c r="F6" s="81"/>
      <c r="G6" s="81">
        <f t="shared" si="0"/>
        <v>0</v>
      </c>
      <c r="H6" s="81">
        <f t="shared" si="1"/>
        <v>0</v>
      </c>
    </row>
    <row r="7" spans="1:8">
      <c r="A7" s="78">
        <v>4</v>
      </c>
      <c r="B7" s="116" t="s">
        <v>186</v>
      </c>
      <c r="C7" s="79">
        <v>1</v>
      </c>
      <c r="D7" s="79" t="s">
        <v>187</v>
      </c>
      <c r="E7" s="80">
        <v>1100</v>
      </c>
      <c r="F7" s="81"/>
      <c r="G7" s="81">
        <f t="shared" si="0"/>
        <v>0</v>
      </c>
      <c r="H7" s="81">
        <f t="shared" si="1"/>
        <v>0</v>
      </c>
    </row>
    <row r="8" spans="1:8">
      <c r="A8" s="78">
        <v>5</v>
      </c>
      <c r="B8" s="116" t="s">
        <v>188</v>
      </c>
      <c r="C8" s="79">
        <v>3</v>
      </c>
      <c r="D8" s="79" t="s">
        <v>189</v>
      </c>
      <c r="E8" s="80">
        <v>1100</v>
      </c>
      <c r="F8" s="81"/>
      <c r="G8" s="81">
        <f t="shared" si="0"/>
        <v>0</v>
      </c>
      <c r="H8" s="81">
        <f t="shared" si="1"/>
        <v>0</v>
      </c>
    </row>
    <row r="9" spans="1:8">
      <c r="A9" s="78">
        <v>6</v>
      </c>
      <c r="B9" s="116" t="s">
        <v>190</v>
      </c>
      <c r="C9" s="79">
        <v>3</v>
      </c>
      <c r="D9" s="79" t="s">
        <v>191</v>
      </c>
      <c r="E9" s="80">
        <v>1100</v>
      </c>
      <c r="F9" s="81"/>
      <c r="G9" s="81">
        <f t="shared" si="0"/>
        <v>0</v>
      </c>
      <c r="H9" s="81">
        <f t="shared" si="1"/>
        <v>0</v>
      </c>
    </row>
    <row r="10" spans="1:8">
      <c r="A10" s="78">
        <v>7</v>
      </c>
      <c r="B10" s="116" t="s">
        <v>192</v>
      </c>
      <c r="C10" s="79">
        <v>2</v>
      </c>
      <c r="D10" s="79" t="s">
        <v>193</v>
      </c>
      <c r="E10" s="80">
        <v>1100</v>
      </c>
      <c r="F10" s="81"/>
      <c r="G10" s="81">
        <f t="shared" si="0"/>
        <v>0</v>
      </c>
      <c r="H10" s="81">
        <f t="shared" si="1"/>
        <v>0</v>
      </c>
    </row>
    <row r="11" spans="1:8" ht="29">
      <c r="A11" s="78">
        <v>8</v>
      </c>
      <c r="B11" s="116" t="s">
        <v>247</v>
      </c>
      <c r="C11" s="79">
        <v>3</v>
      </c>
      <c r="D11" s="79">
        <v>5143</v>
      </c>
      <c r="E11" s="80">
        <v>1456.03</v>
      </c>
      <c r="F11" s="81"/>
      <c r="G11" s="81">
        <f t="shared" si="0"/>
        <v>0</v>
      </c>
      <c r="H11" s="81">
        <f t="shared" si="1"/>
        <v>0</v>
      </c>
    </row>
    <row r="12" spans="1:8">
      <c r="A12" s="78">
        <v>9</v>
      </c>
      <c r="B12" s="116" t="s">
        <v>243</v>
      </c>
      <c r="C12" s="79">
        <v>1</v>
      </c>
      <c r="D12" s="79" t="s">
        <v>244</v>
      </c>
      <c r="E12" s="80">
        <v>1456.03</v>
      </c>
      <c r="F12" s="81"/>
      <c r="G12" s="81">
        <f t="shared" si="0"/>
        <v>0</v>
      </c>
      <c r="H12" s="81">
        <f t="shared" si="1"/>
        <v>0</v>
      </c>
    </row>
    <row r="13" spans="1:8">
      <c r="A13" s="78">
        <v>10</v>
      </c>
      <c r="B13" s="116" t="s">
        <v>245</v>
      </c>
      <c r="C13" s="79">
        <v>1</v>
      </c>
      <c r="D13" s="79" t="s">
        <v>194</v>
      </c>
      <c r="E13" s="80">
        <v>1370.97</v>
      </c>
      <c r="F13" s="81"/>
      <c r="G13" s="81">
        <f t="shared" si="0"/>
        <v>0</v>
      </c>
      <c r="H13" s="81">
        <f t="shared" si="1"/>
        <v>0</v>
      </c>
    </row>
    <row r="14" spans="1:8">
      <c r="A14" s="124" t="s">
        <v>195</v>
      </c>
      <c r="B14" s="125"/>
      <c r="C14" s="125"/>
      <c r="D14" s="125"/>
      <c r="E14" s="125"/>
      <c r="F14" s="125"/>
      <c r="G14" s="125"/>
      <c r="H14" s="82">
        <f>SUM(H4:H13)</f>
        <v>0</v>
      </c>
    </row>
    <row r="16" spans="1:8" ht="29">
      <c r="B16" s="60" t="s">
        <v>196</v>
      </c>
    </row>
    <row r="17" spans="1:8" ht="29">
      <c r="B17" s="60" t="s">
        <v>242</v>
      </c>
    </row>
    <row r="18" spans="1:8">
      <c r="B18" s="60" t="s">
        <v>246</v>
      </c>
    </row>
    <row r="21" spans="1:8">
      <c r="A21" s="126" t="s">
        <v>249</v>
      </c>
      <c r="B21" s="126"/>
      <c r="C21" s="126"/>
      <c r="D21" s="126"/>
      <c r="E21" s="126"/>
      <c r="F21" s="126"/>
      <c r="G21" s="126"/>
      <c r="H21" s="126"/>
    </row>
    <row r="22" spans="1:8">
      <c r="A22" s="125" t="s">
        <v>174</v>
      </c>
      <c r="B22" s="125"/>
      <c r="C22" s="125"/>
      <c r="D22" s="125"/>
      <c r="E22" s="125"/>
      <c r="F22" s="125"/>
      <c r="G22" s="125"/>
      <c r="H22" s="125"/>
    </row>
    <row r="23" spans="1:8">
      <c r="A23" s="77" t="s">
        <v>2</v>
      </c>
      <c r="B23" s="114" t="s">
        <v>3</v>
      </c>
      <c r="C23" s="77" t="s">
        <v>175</v>
      </c>
      <c r="D23" s="77" t="s">
        <v>176</v>
      </c>
      <c r="E23" s="77" t="s">
        <v>177</v>
      </c>
      <c r="F23" s="77" t="s">
        <v>178</v>
      </c>
      <c r="G23" s="77" t="s">
        <v>179</v>
      </c>
      <c r="H23" s="77" t="s">
        <v>180</v>
      </c>
    </row>
    <row r="24" spans="1:8">
      <c r="A24" s="78">
        <v>11</v>
      </c>
      <c r="B24" s="116" t="s">
        <v>185</v>
      </c>
      <c r="C24" s="79">
        <v>2</v>
      </c>
      <c r="D24" s="79">
        <v>4221</v>
      </c>
      <c r="E24" s="80">
        <v>1100</v>
      </c>
      <c r="F24" s="81"/>
      <c r="G24" s="81">
        <f t="shared" ref="G24:G25" si="2">F24*12</f>
        <v>0</v>
      </c>
      <c r="H24" s="81">
        <f t="shared" ref="H24:H25" si="3">G24*C24</f>
        <v>0</v>
      </c>
    </row>
    <row r="25" spans="1:8">
      <c r="A25" s="78">
        <v>12</v>
      </c>
      <c r="B25" s="116" t="s">
        <v>188</v>
      </c>
      <c r="C25" s="79">
        <v>1</v>
      </c>
      <c r="D25" s="79" t="s">
        <v>189</v>
      </c>
      <c r="E25" s="80">
        <v>1100</v>
      </c>
      <c r="F25" s="81"/>
      <c r="G25" s="81">
        <f t="shared" si="2"/>
        <v>0</v>
      </c>
      <c r="H25" s="81">
        <f t="shared" si="3"/>
        <v>0</v>
      </c>
    </row>
    <row r="26" spans="1:8">
      <c r="A26" s="124" t="s">
        <v>195</v>
      </c>
      <c r="B26" s="125"/>
      <c r="C26" s="125"/>
      <c r="D26" s="125"/>
      <c r="E26" s="125"/>
      <c r="F26" s="125"/>
      <c r="G26" s="125"/>
      <c r="H26" s="82">
        <f>SUM(H24:H25)</f>
        <v>0</v>
      </c>
    </row>
    <row r="28" spans="1:8" ht="29">
      <c r="B28" s="60" t="s">
        <v>196</v>
      </c>
    </row>
  </sheetData>
  <mergeCells count="6">
    <mergeCell ref="A26:G26"/>
    <mergeCell ref="A2:H2"/>
    <mergeCell ref="A14:G14"/>
    <mergeCell ref="A1:H1"/>
    <mergeCell ref="A21:H21"/>
    <mergeCell ref="A22:H2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9"/>
  <sheetViews>
    <sheetView workbookViewId="0">
      <selection activeCell="F37" sqref="F37"/>
    </sheetView>
  </sheetViews>
  <sheetFormatPr defaultColWidth="9.1796875" defaultRowHeight="14.5"/>
  <cols>
    <col min="1" max="1" width="13.1796875" customWidth="1"/>
    <col min="2" max="2" width="56.1796875" customWidth="1"/>
    <col min="3" max="3" width="27.7265625" customWidth="1"/>
    <col min="4" max="4" width="20.7265625" customWidth="1"/>
    <col min="5" max="5" width="10.08984375" style="99" customWidth="1"/>
    <col min="6" max="6" width="29.26953125" customWidth="1"/>
    <col min="7" max="7" width="11.453125" customWidth="1"/>
  </cols>
  <sheetData>
    <row r="1" spans="1:7">
      <c r="A1" s="123" t="s">
        <v>0</v>
      </c>
      <c r="B1" s="123"/>
      <c r="C1" s="123"/>
      <c r="D1" s="123"/>
      <c r="E1" s="100"/>
      <c r="F1" s="122" t="s">
        <v>1</v>
      </c>
      <c r="G1" s="122"/>
    </row>
    <row r="2" spans="1:7">
      <c r="A2" s="38" t="s">
        <v>2</v>
      </c>
      <c r="B2" t="s">
        <v>3</v>
      </c>
      <c r="C2" s="38" t="s">
        <v>4</v>
      </c>
      <c r="D2" s="38" t="s">
        <v>5</v>
      </c>
      <c r="E2" s="101"/>
      <c r="F2" s="39" t="s">
        <v>3</v>
      </c>
      <c r="G2" s="39" t="s">
        <v>5</v>
      </c>
    </row>
    <row r="3" spans="1:7">
      <c r="A3" s="38">
        <v>1</v>
      </c>
      <c r="B3" t="s">
        <v>6</v>
      </c>
      <c r="C3" s="38"/>
      <c r="D3" s="38"/>
      <c r="E3" s="101"/>
      <c r="F3" t="s">
        <v>8</v>
      </c>
      <c r="G3" s="40"/>
    </row>
    <row r="4" spans="1:7">
      <c r="A4" s="38">
        <v>2</v>
      </c>
      <c r="B4" t="s">
        <v>9</v>
      </c>
      <c r="C4" s="38"/>
      <c r="D4" s="38"/>
      <c r="E4" s="101"/>
      <c r="F4" t="s">
        <v>11</v>
      </c>
      <c r="G4" s="40"/>
    </row>
    <row r="5" spans="1:7">
      <c r="A5" s="38">
        <v>3</v>
      </c>
      <c r="B5" t="s">
        <v>12</v>
      </c>
      <c r="C5" s="38"/>
      <c r="D5" s="41"/>
      <c r="E5" s="102"/>
      <c r="F5" t="s">
        <v>14</v>
      </c>
      <c r="G5" s="42"/>
    </row>
    <row r="6" spans="1:7">
      <c r="A6" s="38">
        <v>4</v>
      </c>
      <c r="B6" t="s">
        <v>15</v>
      </c>
      <c r="C6" s="38"/>
      <c r="D6" s="38"/>
      <c r="E6" s="101"/>
      <c r="F6" t="s">
        <v>18</v>
      </c>
      <c r="G6" s="43"/>
    </row>
    <row r="7" spans="1:7">
      <c r="A7" s="38">
        <v>5</v>
      </c>
      <c r="B7" t="s">
        <v>19</v>
      </c>
      <c r="C7" s="38"/>
      <c r="D7" s="38" t="s">
        <v>20</v>
      </c>
      <c r="E7" s="101"/>
      <c r="F7" t="s">
        <v>197</v>
      </c>
      <c r="G7" s="44"/>
    </row>
    <row r="8" spans="1:7">
      <c r="F8" s="45"/>
      <c r="G8" s="46"/>
    </row>
    <row r="9" spans="1:7">
      <c r="A9" s="118" t="s">
        <v>22</v>
      </c>
      <c r="B9" s="118"/>
      <c r="C9" s="118"/>
      <c r="D9" s="118"/>
      <c r="E9" s="103"/>
      <c r="F9" s="45"/>
      <c r="G9" s="46"/>
    </row>
    <row r="10" spans="1:7">
      <c r="A10" s="38" t="s">
        <v>25</v>
      </c>
      <c r="B10" t="s">
        <v>26</v>
      </c>
      <c r="C10" s="38" t="s">
        <v>4</v>
      </c>
      <c r="D10" s="38" t="s">
        <v>5</v>
      </c>
      <c r="E10" s="101"/>
      <c r="F10" s="45"/>
      <c r="G10" s="46"/>
    </row>
    <row r="11" spans="1:7">
      <c r="A11" s="38" t="s">
        <v>28</v>
      </c>
      <c r="B11" t="s">
        <v>29</v>
      </c>
      <c r="C11" s="38"/>
      <c r="D11" s="47">
        <f>D5</f>
        <v>0</v>
      </c>
      <c r="E11" s="104"/>
      <c r="F11" s="45"/>
      <c r="G11" s="46"/>
    </row>
    <row r="12" spans="1:7">
      <c r="A12" s="38" t="s">
        <v>31</v>
      </c>
      <c r="B12" t="s">
        <v>32</v>
      </c>
      <c r="C12" s="38"/>
      <c r="D12" s="47"/>
      <c r="E12" s="104"/>
      <c r="F12" s="45"/>
      <c r="G12" s="46"/>
    </row>
    <row r="13" spans="1:7">
      <c r="A13" s="38" t="s">
        <v>34</v>
      </c>
      <c r="B13" t="s">
        <v>35</v>
      </c>
      <c r="C13" s="38"/>
      <c r="D13" s="47"/>
      <c r="E13" s="104"/>
      <c r="F13" s="45"/>
      <c r="G13" s="46"/>
    </row>
    <row r="14" spans="1:7">
      <c r="A14" s="38" t="s">
        <v>36</v>
      </c>
      <c r="B14" t="s">
        <v>37</v>
      </c>
      <c r="C14" s="38"/>
      <c r="D14" s="47"/>
      <c r="E14" s="104"/>
      <c r="F14" s="45"/>
      <c r="G14" s="46"/>
    </row>
    <row r="15" spans="1:7">
      <c r="A15" s="38" t="s">
        <v>39</v>
      </c>
      <c r="B15" t="s">
        <v>40</v>
      </c>
      <c r="C15" s="38"/>
      <c r="D15" s="47"/>
      <c r="E15" s="104"/>
      <c r="F15" s="45"/>
      <c r="G15" s="46"/>
    </row>
    <row r="16" spans="1:7">
      <c r="A16" s="38" t="s">
        <v>41</v>
      </c>
      <c r="B16" t="s">
        <v>198</v>
      </c>
      <c r="C16" s="48"/>
      <c r="D16" s="47">
        <f>D11*6%</f>
        <v>0</v>
      </c>
      <c r="E16" s="104"/>
      <c r="F16" s="45"/>
      <c r="G16" s="46"/>
    </row>
    <row r="17" spans="1:7">
      <c r="A17" s="38" t="s">
        <v>44</v>
      </c>
      <c r="C17" s="38"/>
      <c r="D17" s="47">
        <f>TRUNC(SUM(D11:D16),2)</f>
        <v>0</v>
      </c>
      <c r="E17" s="104"/>
      <c r="F17" s="45"/>
      <c r="G17" s="46"/>
    </row>
    <row r="18" spans="1:7">
      <c r="F18" s="45"/>
      <c r="G18" s="46"/>
    </row>
    <row r="19" spans="1:7">
      <c r="A19" s="121" t="s">
        <v>47</v>
      </c>
      <c r="B19" s="121"/>
      <c r="C19" s="121"/>
      <c r="D19" s="121"/>
      <c r="E19" s="105"/>
      <c r="F19" s="45"/>
      <c r="G19" s="46"/>
    </row>
    <row r="20" spans="1:7">
      <c r="A20" s="122" t="s">
        <v>49</v>
      </c>
      <c r="B20" s="122"/>
      <c r="C20" s="122"/>
      <c r="D20" s="122"/>
      <c r="E20" s="106"/>
      <c r="F20" s="45"/>
      <c r="G20" s="46"/>
    </row>
    <row r="21" spans="1:7">
      <c r="A21" s="38" t="s">
        <v>51</v>
      </c>
      <c r="B21" t="s">
        <v>52</v>
      </c>
      <c r="C21" s="38" t="s">
        <v>4</v>
      </c>
      <c r="D21" s="38" t="s">
        <v>5</v>
      </c>
      <c r="E21" s="101"/>
      <c r="F21" s="45"/>
      <c r="G21" s="46"/>
    </row>
    <row r="22" spans="1:7">
      <c r="A22" s="38" t="s">
        <v>28</v>
      </c>
      <c r="B22" t="s">
        <v>53</v>
      </c>
      <c r="C22" s="49"/>
      <c r="D22" s="47">
        <f>TRUNC($D$17*C22,2)</f>
        <v>0</v>
      </c>
      <c r="E22" s="104"/>
      <c r="F22" s="45"/>
      <c r="G22" s="46"/>
    </row>
    <row r="23" spans="1:7">
      <c r="A23" s="38" t="s">
        <v>31</v>
      </c>
      <c r="B23" t="s">
        <v>55</v>
      </c>
      <c r="C23" s="49"/>
      <c r="D23" s="47">
        <f>TRUNC($D$17*C23,2)</f>
        <v>0</v>
      </c>
      <c r="E23" s="104"/>
      <c r="F23" s="45"/>
      <c r="G23" s="46"/>
    </row>
    <row r="24" spans="1:7">
      <c r="A24" s="38" t="s">
        <v>44</v>
      </c>
      <c r="D24" s="47">
        <f>TRUNC(SUM(D22:D23),2)</f>
        <v>0</v>
      </c>
      <c r="E24" s="104"/>
      <c r="F24" s="45"/>
      <c r="G24" s="46"/>
    </row>
    <row r="25" spans="1:7" ht="15" thickBot="1">
      <c r="A25" s="38"/>
      <c r="D25" s="47"/>
      <c r="E25" s="104"/>
      <c r="F25" s="45"/>
      <c r="G25" s="46"/>
    </row>
    <row r="26" spans="1:7" ht="15.5" thickTop="1" thickBot="1">
      <c r="A26" s="129" t="s">
        <v>199</v>
      </c>
      <c r="B26" s="129"/>
      <c r="C26" s="50" t="s">
        <v>200</v>
      </c>
      <c r="D26" s="51">
        <f>D17</f>
        <v>0</v>
      </c>
      <c r="E26" s="107"/>
      <c r="F26" s="52"/>
      <c r="G26" s="52"/>
    </row>
    <row r="27" spans="1:7" ht="15.5" thickTop="1" thickBot="1">
      <c r="A27" s="129"/>
      <c r="B27" s="129"/>
      <c r="C27" s="53" t="s">
        <v>201</v>
      </c>
      <c r="D27" s="51">
        <f>D24</f>
        <v>0</v>
      </c>
      <c r="E27" s="107"/>
      <c r="F27" s="52"/>
      <c r="G27" s="52"/>
    </row>
    <row r="28" spans="1:7" ht="15.5" thickTop="1" thickBot="1">
      <c r="A28" s="129"/>
      <c r="B28" s="129"/>
      <c r="C28" s="50" t="s">
        <v>195</v>
      </c>
      <c r="D28" s="54">
        <f>TRUNC(SUM(D26:D27),2)</f>
        <v>0</v>
      </c>
      <c r="E28" s="108"/>
      <c r="F28" s="52"/>
      <c r="G28" s="52"/>
    </row>
    <row r="29" spans="1:7" ht="15" thickTop="1">
      <c r="A29" s="38"/>
      <c r="B29" s="38"/>
      <c r="C29" s="55"/>
      <c r="F29" s="52"/>
      <c r="G29" s="52"/>
    </row>
    <row r="30" spans="1:7">
      <c r="A30" s="122" t="s">
        <v>66</v>
      </c>
      <c r="B30" s="122"/>
      <c r="C30" s="122"/>
      <c r="D30" s="122"/>
      <c r="E30" s="106"/>
    </row>
    <row r="31" spans="1:7">
      <c r="A31" s="38" t="s">
        <v>67</v>
      </c>
      <c r="B31" t="s">
        <v>68</v>
      </c>
      <c r="C31" s="38" t="s">
        <v>24</v>
      </c>
      <c r="D31" s="38" t="s">
        <v>69</v>
      </c>
      <c r="E31" s="101"/>
    </row>
    <row r="32" spans="1:7">
      <c r="A32" s="38" t="s">
        <v>28</v>
      </c>
      <c r="B32" t="s">
        <v>70</v>
      </c>
      <c r="C32" s="56"/>
      <c r="D32" s="47">
        <f t="shared" ref="D32:D39" si="0">TRUNC(($D$28*C32),2)</f>
        <v>0</v>
      </c>
      <c r="E32" s="104"/>
    </row>
    <row r="33" spans="1:5">
      <c r="A33" s="38" t="s">
        <v>31</v>
      </c>
      <c r="B33" t="s">
        <v>71</v>
      </c>
      <c r="C33" s="56"/>
      <c r="D33" s="47">
        <f t="shared" si="0"/>
        <v>0</v>
      </c>
      <c r="E33" s="104"/>
    </row>
    <row r="34" spans="1:5">
      <c r="A34" s="38" t="s">
        <v>34</v>
      </c>
      <c r="B34" t="s">
        <v>72</v>
      </c>
      <c r="C34" s="57"/>
      <c r="D34" s="58">
        <f t="shared" si="0"/>
        <v>0</v>
      </c>
      <c r="E34" s="104"/>
    </row>
    <row r="35" spans="1:5">
      <c r="A35" s="38" t="s">
        <v>36</v>
      </c>
      <c r="B35" t="s">
        <v>73</v>
      </c>
      <c r="C35" s="56"/>
      <c r="D35" s="47">
        <f t="shared" si="0"/>
        <v>0</v>
      </c>
      <c r="E35" s="104"/>
    </row>
    <row r="36" spans="1:5">
      <c r="A36" s="38" t="s">
        <v>39</v>
      </c>
      <c r="B36" t="s">
        <v>74</v>
      </c>
      <c r="C36" s="56"/>
      <c r="D36" s="47">
        <f t="shared" si="0"/>
        <v>0</v>
      </c>
      <c r="E36" s="104"/>
    </row>
    <row r="37" spans="1:5">
      <c r="A37" s="38" t="s">
        <v>41</v>
      </c>
      <c r="B37" t="s">
        <v>75</v>
      </c>
      <c r="C37" s="56"/>
      <c r="D37" s="47">
        <f t="shared" si="0"/>
        <v>0</v>
      </c>
      <c r="E37" s="104"/>
    </row>
    <row r="38" spans="1:5">
      <c r="A38" s="38" t="s">
        <v>76</v>
      </c>
      <c r="B38" t="s">
        <v>77</v>
      </c>
      <c r="C38" s="56"/>
      <c r="D38" s="47">
        <f t="shared" si="0"/>
        <v>0</v>
      </c>
      <c r="E38" s="104"/>
    </row>
    <row r="39" spans="1:5">
      <c r="A39" s="38" t="s">
        <v>78</v>
      </c>
      <c r="B39" t="s">
        <v>79</v>
      </c>
      <c r="C39" s="56"/>
      <c r="D39" s="47">
        <f t="shared" si="0"/>
        <v>0</v>
      </c>
      <c r="E39" s="104"/>
    </row>
    <row r="40" spans="1:5">
      <c r="A40" s="38" t="s">
        <v>44</v>
      </c>
      <c r="C40" s="59">
        <f>SUBTOTAL(109,[Percentual])</f>
        <v>0</v>
      </c>
      <c r="D40" s="47">
        <f>TRUNC(SUM(D32:D39),2)</f>
        <v>0</v>
      </c>
      <c r="E40" s="104"/>
    </row>
    <row r="41" spans="1:5">
      <c r="A41" s="38"/>
      <c r="C41" s="59"/>
      <c r="D41" s="47"/>
      <c r="E41" s="104"/>
    </row>
    <row r="42" spans="1:5">
      <c r="A42" s="122" t="s">
        <v>84</v>
      </c>
      <c r="B42" s="122"/>
      <c r="C42" s="122"/>
      <c r="D42" s="122"/>
      <c r="E42" s="106"/>
    </row>
    <row r="43" spans="1:5">
      <c r="A43" s="38" t="s">
        <v>85</v>
      </c>
      <c r="B43" t="s">
        <v>86</v>
      </c>
      <c r="C43" s="38" t="s">
        <v>4</v>
      </c>
      <c r="D43" s="38" t="s">
        <v>5</v>
      </c>
      <c r="E43" s="101"/>
    </row>
    <row r="44" spans="1:5">
      <c r="A44" s="38" t="s">
        <v>28</v>
      </c>
      <c r="B44" t="s">
        <v>87</v>
      </c>
      <c r="D44" s="58">
        <f>TRUNC(((G5*G3)*2)-((D5/100)*6),2)</f>
        <v>0</v>
      </c>
      <c r="E44" s="104"/>
    </row>
    <row r="45" spans="1:5">
      <c r="A45" s="38" t="s">
        <v>31</v>
      </c>
      <c r="B45" t="s">
        <v>88</v>
      </c>
      <c r="D45" s="58">
        <f>TRUNC((((G5*G4))-(((G5*G4))*0.2)),2)</f>
        <v>0</v>
      </c>
      <c r="E45" s="104"/>
    </row>
    <row r="46" spans="1:5">
      <c r="A46" s="38" t="s">
        <v>34</v>
      </c>
      <c r="B46" t="s">
        <v>89</v>
      </c>
      <c r="C46" s="48"/>
      <c r="D46" s="58"/>
      <c r="E46" s="104"/>
    </row>
    <row r="47" spans="1:5">
      <c r="A47" s="38" t="s">
        <v>36</v>
      </c>
      <c r="B47" t="s">
        <v>90</v>
      </c>
      <c r="C47" s="48"/>
      <c r="D47" s="58"/>
      <c r="E47" s="104"/>
    </row>
    <row r="48" spans="1:5">
      <c r="A48" s="38" t="s">
        <v>39</v>
      </c>
      <c r="B48" t="s">
        <v>92</v>
      </c>
      <c r="C48" s="48"/>
      <c r="D48" s="58"/>
      <c r="E48" s="104"/>
    </row>
    <row r="49" spans="1:5">
      <c r="A49" s="38" t="s">
        <v>44</v>
      </c>
      <c r="D49" s="47">
        <f>TRUNC(SUM(D44:D48),2)</f>
        <v>0</v>
      </c>
      <c r="E49" s="104"/>
    </row>
    <row r="50" spans="1:5">
      <c r="A50" s="38"/>
      <c r="D50" s="47"/>
      <c r="E50" s="104"/>
    </row>
    <row r="51" spans="1:5">
      <c r="A51" s="122" t="s">
        <v>98</v>
      </c>
      <c r="B51" s="122"/>
      <c r="C51" s="122"/>
      <c r="D51" s="122"/>
      <c r="E51" s="106"/>
    </row>
    <row r="52" spans="1:5">
      <c r="A52" s="38" t="s">
        <v>99</v>
      </c>
      <c r="B52" t="s">
        <v>100</v>
      </c>
      <c r="C52" s="38" t="s">
        <v>4</v>
      </c>
      <c r="D52" s="38" t="s">
        <v>5</v>
      </c>
      <c r="E52" s="101"/>
    </row>
    <row r="53" spans="1:5">
      <c r="A53" s="38" t="s">
        <v>51</v>
      </c>
      <c r="B53" t="s">
        <v>52</v>
      </c>
      <c r="C53" s="38"/>
      <c r="D53" s="47">
        <f>D24</f>
        <v>0</v>
      </c>
      <c r="E53" s="104"/>
    </row>
    <row r="54" spans="1:5">
      <c r="A54" s="38" t="s">
        <v>67</v>
      </c>
      <c r="B54" t="s">
        <v>68</v>
      </c>
      <c r="C54" s="38"/>
      <c r="D54" s="47">
        <f>D40</f>
        <v>0</v>
      </c>
      <c r="E54" s="104"/>
    </row>
    <row r="55" spans="1:5">
      <c r="A55" s="38" t="s">
        <v>85</v>
      </c>
      <c r="B55" t="s">
        <v>86</v>
      </c>
      <c r="C55" s="38"/>
      <c r="D55" s="47">
        <f>D49</f>
        <v>0</v>
      </c>
      <c r="E55" s="104"/>
    </row>
    <row r="56" spans="1:5">
      <c r="A56" s="38" t="s">
        <v>44</v>
      </c>
      <c r="C56" s="38"/>
      <c r="D56" s="47">
        <f>TRUNC(SUM(D53:D55),2)</f>
        <v>0</v>
      </c>
      <c r="E56" s="104"/>
    </row>
    <row r="58" spans="1:5">
      <c r="A58" s="118" t="s">
        <v>101</v>
      </c>
      <c r="B58" s="118"/>
      <c r="C58" s="118"/>
      <c r="D58" s="118"/>
      <c r="E58" s="103"/>
    </row>
    <row r="59" spans="1:5">
      <c r="A59" s="38" t="s">
        <v>102</v>
      </c>
      <c r="B59" t="s">
        <v>103</v>
      </c>
      <c r="C59" s="38" t="s">
        <v>4</v>
      </c>
      <c r="D59" s="38" t="s">
        <v>5</v>
      </c>
      <c r="E59" s="101"/>
    </row>
    <row r="60" spans="1:5">
      <c r="A60" s="38" t="s">
        <v>28</v>
      </c>
      <c r="B60" s="60" t="s">
        <v>104</v>
      </c>
      <c r="C60" s="61"/>
      <c r="D60" s="62">
        <f>TRUNC(($D$17*C60),2)</f>
        <v>0</v>
      </c>
      <c r="E60" s="109"/>
    </row>
    <row r="61" spans="1:5">
      <c r="A61" s="38" t="s">
        <v>31</v>
      </c>
      <c r="B61" s="60" t="s">
        <v>105</v>
      </c>
      <c r="C61" s="49"/>
      <c r="D61" s="63">
        <f>TRUNC(D60*C61,2)</f>
        <v>0</v>
      </c>
      <c r="E61" s="109"/>
    </row>
    <row r="62" spans="1:5" ht="29">
      <c r="A62" s="38" t="s">
        <v>34</v>
      </c>
      <c r="B62" s="60" t="s">
        <v>106</v>
      </c>
      <c r="C62" s="61"/>
      <c r="D62" s="62">
        <f>TRUNC(($D$17*C62),2)</f>
        <v>0</v>
      </c>
      <c r="E62" s="109"/>
    </row>
    <row r="63" spans="1:5">
      <c r="A63" s="38" t="s">
        <v>36</v>
      </c>
      <c r="B63" s="60" t="s">
        <v>107</v>
      </c>
      <c r="C63" s="49"/>
      <c r="D63" s="63">
        <f>TRUNC(($D$17*C63),2)</f>
        <v>0</v>
      </c>
      <c r="E63" s="109"/>
    </row>
    <row r="64" spans="1:5" ht="29">
      <c r="A64" s="38" t="s">
        <v>39</v>
      </c>
      <c r="B64" s="60" t="s">
        <v>202</v>
      </c>
      <c r="C64" s="49"/>
      <c r="D64" s="63">
        <f>TRUNC(D63*C64,2)</f>
        <v>0</v>
      </c>
      <c r="E64" s="109"/>
    </row>
    <row r="65" spans="1:5" ht="29">
      <c r="A65" s="38" t="s">
        <v>41</v>
      </c>
      <c r="B65" s="60" t="s">
        <v>108</v>
      </c>
      <c r="C65" s="61"/>
      <c r="D65" s="62">
        <f>TRUNC(($D$17*C65),2)</f>
        <v>0</v>
      </c>
      <c r="E65" s="109"/>
    </row>
    <row r="66" spans="1:5">
      <c r="A66" s="38" t="s">
        <v>44</v>
      </c>
      <c r="D66" s="75">
        <f>TRUNC(SUM(D60:D65),2)</f>
        <v>0</v>
      </c>
      <c r="E66" s="110"/>
    </row>
    <row r="67" spans="1:5" ht="15" thickBot="1">
      <c r="A67" s="38"/>
      <c r="D67" s="47"/>
      <c r="E67" s="104"/>
    </row>
    <row r="68" spans="1:5" ht="15.5" thickTop="1" thickBot="1">
      <c r="A68" s="129" t="s">
        <v>203</v>
      </c>
      <c r="B68" s="129"/>
      <c r="C68" s="50" t="s">
        <v>200</v>
      </c>
      <c r="D68" s="51">
        <f>D17</f>
        <v>0</v>
      </c>
      <c r="E68" s="107"/>
    </row>
    <row r="69" spans="1:5" ht="15.5" thickTop="1" thickBot="1">
      <c r="A69" s="129"/>
      <c r="B69" s="129"/>
      <c r="C69" s="53" t="s">
        <v>204</v>
      </c>
      <c r="D69" s="51">
        <f>D56</f>
        <v>0</v>
      </c>
      <c r="E69" s="107"/>
    </row>
    <row r="70" spans="1:5" ht="15.5" thickTop="1" thickBot="1">
      <c r="A70" s="129"/>
      <c r="B70" s="129"/>
      <c r="C70" s="50" t="s">
        <v>205</v>
      </c>
      <c r="D70" s="51">
        <f>D66</f>
        <v>0</v>
      </c>
      <c r="E70" s="107"/>
    </row>
    <row r="71" spans="1:5" ht="15.5" thickTop="1" thickBot="1">
      <c r="A71" s="129"/>
      <c r="B71" s="129"/>
      <c r="C71" s="53" t="s">
        <v>195</v>
      </c>
      <c r="D71" s="54">
        <f>TRUNC((SUM(D68:D70)),2)</f>
        <v>0</v>
      </c>
      <c r="E71" s="108"/>
    </row>
    <row r="72" spans="1:5" ht="15" thickTop="1">
      <c r="A72" s="38"/>
      <c r="D72" s="47"/>
      <c r="E72" s="104"/>
    </row>
    <row r="73" spans="1:5">
      <c r="A73" s="120" t="s">
        <v>120</v>
      </c>
      <c r="B73" s="121"/>
      <c r="C73" s="121"/>
      <c r="D73" s="121"/>
      <c r="E73" s="105"/>
    </row>
    <row r="74" spans="1:5">
      <c r="A74" s="117" t="s">
        <v>121</v>
      </c>
      <c r="B74" s="117"/>
      <c r="C74" s="117"/>
      <c r="D74" s="117"/>
      <c r="E74" s="100"/>
    </row>
    <row r="75" spans="1:5">
      <c r="A75" s="38" t="s">
        <v>122</v>
      </c>
      <c r="B75" t="s">
        <v>123</v>
      </c>
      <c r="C75" s="38" t="s">
        <v>124</v>
      </c>
      <c r="D75" s="38" t="s">
        <v>5</v>
      </c>
      <c r="E75" s="101"/>
    </row>
    <row r="76" spans="1:5">
      <c r="A76" s="38" t="s">
        <v>28</v>
      </c>
      <c r="B76" s="60" t="s">
        <v>125</v>
      </c>
      <c r="C76" s="61"/>
      <c r="D76" s="64">
        <f t="shared" ref="D76:D81" si="1">TRUNC(($D$71*C76),2)</f>
        <v>0</v>
      </c>
      <c r="E76" s="111"/>
    </row>
    <row r="77" spans="1:5">
      <c r="A77" s="38" t="s">
        <v>31</v>
      </c>
      <c r="B77" s="60" t="s">
        <v>126</v>
      </c>
      <c r="C77" s="61"/>
      <c r="D77" s="64">
        <f t="shared" si="1"/>
        <v>0</v>
      </c>
      <c r="E77" s="111"/>
    </row>
    <row r="78" spans="1:5">
      <c r="A78" s="38" t="s">
        <v>34</v>
      </c>
      <c r="B78" s="60" t="s">
        <v>127</v>
      </c>
      <c r="C78" s="61"/>
      <c r="D78" s="64">
        <f t="shared" si="1"/>
        <v>0</v>
      </c>
      <c r="E78" s="111"/>
    </row>
    <row r="79" spans="1:5">
      <c r="A79" s="38" t="s">
        <v>36</v>
      </c>
      <c r="B79" s="60" t="s">
        <v>128</v>
      </c>
      <c r="C79" s="61"/>
      <c r="D79" s="64">
        <f t="shared" si="1"/>
        <v>0</v>
      </c>
      <c r="E79" s="111"/>
    </row>
    <row r="80" spans="1:5">
      <c r="A80" s="38" t="s">
        <v>39</v>
      </c>
      <c r="B80" s="60" t="s">
        <v>129</v>
      </c>
      <c r="C80" s="61"/>
      <c r="D80" s="64">
        <f t="shared" si="1"/>
        <v>0</v>
      </c>
      <c r="E80" s="111"/>
    </row>
    <row r="81" spans="1:5">
      <c r="A81" s="38" t="s">
        <v>41</v>
      </c>
      <c r="B81" s="60" t="s">
        <v>206</v>
      </c>
      <c r="C81" s="61"/>
      <c r="D81" s="64">
        <f t="shared" si="1"/>
        <v>0</v>
      </c>
      <c r="E81" s="111"/>
    </row>
    <row r="82" spans="1:5">
      <c r="A82" s="38" t="s">
        <v>44</v>
      </c>
      <c r="C82" s="56">
        <f>SUBTOTAL(109,[Dias de ausência])</f>
        <v>0</v>
      </c>
      <c r="D82" s="47">
        <f>TRUNC(SUM(D76:D81),2)</f>
        <v>0</v>
      </c>
      <c r="E82" s="104"/>
    </row>
    <row r="83" spans="1:5">
      <c r="A83" s="38"/>
      <c r="C83" s="38"/>
      <c r="D83" s="47"/>
      <c r="E83" s="104"/>
    </row>
    <row r="84" spans="1:5">
      <c r="A84" s="122" t="s">
        <v>140</v>
      </c>
      <c r="B84" s="122"/>
      <c r="C84" s="122"/>
      <c r="D84" s="122"/>
      <c r="E84" s="106"/>
    </row>
    <row r="85" spans="1:5">
      <c r="A85" s="38" t="s">
        <v>141</v>
      </c>
      <c r="B85" t="s">
        <v>142</v>
      </c>
      <c r="C85" s="38" t="s">
        <v>4</v>
      </c>
      <c r="D85" s="38" t="s">
        <v>5</v>
      </c>
      <c r="E85" s="101"/>
    </row>
    <row r="86" spans="1:5">
      <c r="A86" s="38" t="s">
        <v>28</v>
      </c>
      <c r="B86" t="s">
        <v>143</v>
      </c>
      <c r="C86" s="38"/>
      <c r="D86" s="47"/>
      <c r="E86" s="104"/>
    </row>
    <row r="87" spans="1:5">
      <c r="A87" s="38" t="s">
        <v>44</v>
      </c>
      <c r="C87" s="38"/>
      <c r="D87" s="47">
        <f>SUBTOTAL(109,[Valor])</f>
        <v>0</v>
      </c>
      <c r="E87" s="104"/>
    </row>
    <row r="89" spans="1:5">
      <c r="A89" s="117" t="s">
        <v>144</v>
      </c>
      <c r="B89" s="117"/>
      <c r="C89" s="117"/>
      <c r="D89" s="117"/>
      <c r="E89" s="100"/>
    </row>
    <row r="90" spans="1:5">
      <c r="A90" s="38" t="s">
        <v>145</v>
      </c>
      <c r="B90" t="s">
        <v>146</v>
      </c>
      <c r="C90" s="38" t="s">
        <v>4</v>
      </c>
      <c r="D90" s="38" t="s">
        <v>5</v>
      </c>
      <c r="E90" s="101"/>
    </row>
    <row r="91" spans="1:5">
      <c r="A91" s="38" t="s">
        <v>122</v>
      </c>
      <c r="B91" t="s">
        <v>123</v>
      </c>
      <c r="D91" s="76">
        <f>D82</f>
        <v>0</v>
      </c>
      <c r="E91" s="112"/>
    </row>
    <row r="92" spans="1:5">
      <c r="A92" s="38" t="s">
        <v>141</v>
      </c>
      <c r="B92" t="s">
        <v>147</v>
      </c>
      <c r="D92" s="47">
        <f>Submódulo4.22612_311291471581523[[#Totals],[Valor]]</f>
        <v>0</v>
      </c>
      <c r="E92" s="104"/>
    </row>
    <row r="93" spans="1:5">
      <c r="A93" s="38" t="s">
        <v>44</v>
      </c>
      <c r="D93" s="47">
        <f>TRUNC(SUM(D91:D92),2)</f>
        <v>0</v>
      </c>
      <c r="E93" s="104"/>
    </row>
    <row r="95" spans="1:5">
      <c r="A95" s="118" t="s">
        <v>148</v>
      </c>
      <c r="B95" s="118"/>
      <c r="C95" s="118"/>
      <c r="D95" s="118"/>
      <c r="E95" s="103"/>
    </row>
    <row r="96" spans="1:5">
      <c r="A96" s="38" t="s">
        <v>149</v>
      </c>
      <c r="B96" t="s">
        <v>150</v>
      </c>
      <c r="C96" s="38" t="s">
        <v>4</v>
      </c>
      <c r="D96" s="38" t="s">
        <v>5</v>
      </c>
      <c r="E96" s="101"/>
    </row>
    <row r="97" spans="1:7">
      <c r="A97" s="38" t="s">
        <v>28</v>
      </c>
      <c r="B97" t="s">
        <v>207</v>
      </c>
      <c r="D97" s="65"/>
      <c r="E97" s="111"/>
    </row>
    <row r="98" spans="1:7">
      <c r="A98" s="38" t="s">
        <v>31</v>
      </c>
      <c r="B98" t="s">
        <v>152</v>
      </c>
      <c r="D98" s="65">
        <v>0</v>
      </c>
      <c r="E98" s="111"/>
    </row>
    <row r="99" spans="1:7">
      <c r="A99" s="38" t="s">
        <v>34</v>
      </c>
      <c r="B99" t="s">
        <v>153</v>
      </c>
      <c r="D99" s="65">
        <v>0</v>
      </c>
      <c r="E99" s="111"/>
    </row>
    <row r="100" spans="1:7">
      <c r="A100" s="38" t="s">
        <v>36</v>
      </c>
      <c r="B100" t="s">
        <v>208</v>
      </c>
      <c r="D100" s="65">
        <v>0</v>
      </c>
      <c r="E100" s="111"/>
    </row>
    <row r="101" spans="1:7">
      <c r="A101" s="38" t="s">
        <v>44</v>
      </c>
      <c r="D101" s="47">
        <f>TRUNC(SUM(D97:D100),2)</f>
        <v>0</v>
      </c>
      <c r="E101" s="104"/>
    </row>
    <row r="102" spans="1:7" ht="15" thickBot="1">
      <c r="A102" s="38"/>
      <c r="D102" s="47"/>
      <c r="E102" s="104"/>
    </row>
    <row r="103" spans="1:7" ht="15.5" thickTop="1" thickBot="1">
      <c r="A103" s="129" t="s">
        <v>209</v>
      </c>
      <c r="B103" s="129"/>
      <c r="C103" s="50" t="s">
        <v>200</v>
      </c>
      <c r="D103" s="51">
        <f>D17</f>
        <v>0</v>
      </c>
      <c r="E103" s="107"/>
    </row>
    <row r="104" spans="1:7" ht="15.5" thickTop="1" thickBot="1">
      <c r="A104" s="129"/>
      <c r="B104" s="129"/>
      <c r="C104" s="53" t="s">
        <v>204</v>
      </c>
      <c r="D104" s="51">
        <f>D56</f>
        <v>0</v>
      </c>
      <c r="E104" s="107"/>
    </row>
    <row r="105" spans="1:7" ht="15.5" thickTop="1" thickBot="1">
      <c r="A105" s="129"/>
      <c r="B105" s="129"/>
      <c r="C105" s="50" t="s">
        <v>205</v>
      </c>
      <c r="D105" s="51">
        <f>D66</f>
        <v>0</v>
      </c>
      <c r="E105" s="107"/>
    </row>
    <row r="106" spans="1:7" ht="15.5" thickTop="1" thickBot="1">
      <c r="A106" s="129"/>
      <c r="B106" s="129"/>
      <c r="C106" s="53" t="s">
        <v>210</v>
      </c>
      <c r="D106" s="51">
        <f>D93</f>
        <v>0</v>
      </c>
      <c r="E106" s="107"/>
    </row>
    <row r="107" spans="1:7" ht="15.5" thickTop="1" thickBot="1">
      <c r="A107" s="129"/>
      <c r="B107" s="129"/>
      <c r="C107" s="50" t="s">
        <v>211</v>
      </c>
      <c r="D107" s="51">
        <f>D101</f>
        <v>0</v>
      </c>
      <c r="E107" s="107"/>
    </row>
    <row r="108" spans="1:7" ht="15.5" thickTop="1" thickBot="1">
      <c r="A108" s="129"/>
      <c r="B108" s="129"/>
      <c r="C108" s="53" t="s">
        <v>195</v>
      </c>
      <c r="D108" s="54">
        <f>TRUNC((SUM(D103:D107)),2)</f>
        <v>0</v>
      </c>
      <c r="E108" s="108"/>
    </row>
    <row r="109" spans="1:7" ht="15" thickTop="1">
      <c r="A109" s="38"/>
      <c r="D109" s="47"/>
      <c r="E109" s="104"/>
    </row>
    <row r="110" spans="1:7" ht="15" thickBot="1">
      <c r="A110" s="118" t="s">
        <v>160</v>
      </c>
      <c r="B110" s="118"/>
      <c r="C110" s="118"/>
      <c r="D110" s="118"/>
      <c r="E110" s="103"/>
      <c r="F110" s="127" t="s">
        <v>212</v>
      </c>
      <c r="G110" s="128"/>
    </row>
    <row r="111" spans="1:7" ht="15" thickTop="1">
      <c r="A111" s="38" t="s">
        <v>161</v>
      </c>
      <c r="B111" t="s">
        <v>162</v>
      </c>
      <c r="C111" s="38" t="s">
        <v>24</v>
      </c>
      <c r="D111" s="38" t="s">
        <v>5</v>
      </c>
      <c r="E111" s="101"/>
      <c r="F111" s="66" t="s">
        <v>213</v>
      </c>
      <c r="G111" s="67"/>
    </row>
    <row r="112" spans="1:7" ht="15" thickBot="1">
      <c r="A112" s="38" t="s">
        <v>28</v>
      </c>
      <c r="B112" t="s">
        <v>163</v>
      </c>
      <c r="C112" s="57"/>
      <c r="D112" s="58">
        <f>TRUNC(($D$108*C112),2)</f>
        <v>0</v>
      </c>
      <c r="E112" s="104"/>
      <c r="F112" s="68" t="s">
        <v>214</v>
      </c>
      <c r="G112" s="69"/>
    </row>
    <row r="113" spans="1:7" ht="15" thickTop="1">
      <c r="A113" s="38" t="s">
        <v>31</v>
      </c>
      <c r="B113" t="s">
        <v>45</v>
      </c>
      <c r="C113" s="57"/>
      <c r="D113" s="58">
        <f>TRUNC((D108+D112)*C113,2)</f>
        <v>0</v>
      </c>
      <c r="E113" s="104"/>
      <c r="F113" s="66" t="s">
        <v>215</v>
      </c>
      <c r="G113" s="70"/>
    </row>
    <row r="114" spans="1:7" ht="15" thickBot="1">
      <c r="A114" s="38" t="s">
        <v>34</v>
      </c>
      <c r="B114" t="s">
        <v>164</v>
      </c>
      <c r="C114" s="57"/>
      <c r="D114" s="58">
        <f>SUM(D115:D117)</f>
        <v>0</v>
      </c>
      <c r="E114" s="104"/>
      <c r="F114" s="68" t="s">
        <v>212</v>
      </c>
      <c r="G114" s="69"/>
    </row>
    <row r="115" spans="1:7" ht="15" thickTop="1">
      <c r="A115" s="38" t="s">
        <v>165</v>
      </c>
      <c r="B115" t="s">
        <v>46</v>
      </c>
      <c r="C115" s="57"/>
      <c r="D115" s="58">
        <f>TRUNC(($G$114*C115),2)</f>
        <v>0</v>
      </c>
      <c r="E115" s="104"/>
    </row>
    <row r="116" spans="1:7">
      <c r="A116" s="38" t="s">
        <v>166</v>
      </c>
      <c r="B116" t="s">
        <v>48</v>
      </c>
      <c r="C116" s="57"/>
      <c r="D116" s="58">
        <f>TRUNC(($G$114*C116),2)</f>
        <v>0</v>
      </c>
      <c r="E116" s="104"/>
    </row>
    <row r="117" spans="1:7">
      <c r="A117" s="38" t="s">
        <v>167</v>
      </c>
      <c r="B117" t="s">
        <v>50</v>
      </c>
      <c r="C117" s="57"/>
      <c r="D117" s="58">
        <f>TRUNC(($G$114*C117),2)</f>
        <v>0</v>
      </c>
      <c r="E117" s="104"/>
    </row>
    <row r="118" spans="1:7">
      <c r="A118" s="38" t="s">
        <v>44</v>
      </c>
      <c r="C118" s="71"/>
      <c r="D118" s="47">
        <f>TRUNC(SUM(D112:D114),2)</f>
        <v>0</v>
      </c>
      <c r="E118" s="104"/>
    </row>
    <row r="119" spans="1:7">
      <c r="A119" s="38"/>
      <c r="C119" s="71"/>
      <c r="D119" s="47"/>
      <c r="E119" s="104"/>
    </row>
    <row r="120" spans="1:7">
      <c r="A120" s="118" t="s">
        <v>168</v>
      </c>
      <c r="B120" s="118"/>
      <c r="C120" s="118"/>
      <c r="D120" s="118"/>
      <c r="E120" s="103"/>
    </row>
    <row r="121" spans="1:7">
      <c r="A121" s="38" t="s">
        <v>2</v>
      </c>
      <c r="B121" s="38" t="s">
        <v>169</v>
      </c>
      <c r="C121" s="38" t="s">
        <v>95</v>
      </c>
      <c r="D121" s="38" t="s">
        <v>5</v>
      </c>
      <c r="E121" s="101"/>
    </row>
    <row r="122" spans="1:7">
      <c r="A122" s="38" t="s">
        <v>28</v>
      </c>
      <c r="B122" t="s">
        <v>22</v>
      </c>
      <c r="D122" s="47">
        <f>D17</f>
        <v>0</v>
      </c>
      <c r="E122" s="104"/>
    </row>
    <row r="123" spans="1:7">
      <c r="A123" s="38" t="s">
        <v>31</v>
      </c>
      <c r="B123" t="s">
        <v>47</v>
      </c>
      <c r="D123" s="47">
        <f>D56</f>
        <v>0</v>
      </c>
      <c r="E123" s="104"/>
    </row>
    <row r="124" spans="1:7">
      <c r="A124" s="38" t="s">
        <v>34</v>
      </c>
      <c r="B124" t="s">
        <v>101</v>
      </c>
      <c r="D124" s="47">
        <f>D66</f>
        <v>0</v>
      </c>
      <c r="E124" s="104"/>
    </row>
    <row r="125" spans="1:7">
      <c r="A125" s="38" t="s">
        <v>36</v>
      </c>
      <c r="B125" t="s">
        <v>170</v>
      </c>
      <c r="D125" s="47">
        <f>D93</f>
        <v>0</v>
      </c>
      <c r="E125" s="104"/>
    </row>
    <row r="126" spans="1:7">
      <c r="A126" s="38" t="s">
        <v>39</v>
      </c>
      <c r="B126" t="s">
        <v>148</v>
      </c>
      <c r="D126" s="47">
        <f>D101</f>
        <v>0</v>
      </c>
      <c r="E126" s="104"/>
    </row>
    <row r="127" spans="1:7">
      <c r="A127" t="s">
        <v>171</v>
      </c>
      <c r="D127" s="47">
        <f>TRUNC(SUM(D122:D126),2)</f>
        <v>0</v>
      </c>
      <c r="E127" s="104"/>
    </row>
    <row r="128" spans="1:7">
      <c r="A128" s="38" t="s">
        <v>41</v>
      </c>
      <c r="B128" t="s">
        <v>160</v>
      </c>
      <c r="D128" s="47">
        <f>D118</f>
        <v>0</v>
      </c>
      <c r="E128" s="104"/>
    </row>
    <row r="129" spans="1:5">
      <c r="A129" s="72" t="s">
        <v>172</v>
      </c>
      <c r="B129" s="73"/>
      <c r="C129" s="73"/>
      <c r="D129" s="74">
        <f>TRUNC((SUM(D122:D126)+D128),2)</f>
        <v>0</v>
      </c>
      <c r="E129" s="113"/>
    </row>
  </sheetData>
  <mergeCells count="20">
    <mergeCell ref="A1:D1"/>
    <mergeCell ref="F1:G1"/>
    <mergeCell ref="A9:D9"/>
    <mergeCell ref="A19:D19"/>
    <mergeCell ref="A20:D20"/>
    <mergeCell ref="F110:G110"/>
    <mergeCell ref="A120:D120"/>
    <mergeCell ref="A26:B28"/>
    <mergeCell ref="A68:B71"/>
    <mergeCell ref="A103:B108"/>
    <mergeCell ref="A74:D74"/>
    <mergeCell ref="A84:D84"/>
    <mergeCell ref="A89:D89"/>
    <mergeCell ref="A95:D95"/>
    <mergeCell ref="A110:D110"/>
    <mergeCell ref="A30:D30"/>
    <mergeCell ref="A42:D42"/>
    <mergeCell ref="A51:D51"/>
    <mergeCell ref="A58:D58"/>
    <mergeCell ref="A73:D73"/>
  </mergeCells>
  <pageMargins left="0.75" right="0.75" top="1" bottom="1" header="0.5" footer="0.5"/>
  <pageSetup paperSize="9" orientation="landscape" r:id="rId1"/>
  <legacy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H55"/>
  <sheetViews>
    <sheetView zoomScale="90" zoomScaleNormal="90" workbookViewId="0">
      <selection activeCell="N5" sqref="N5"/>
    </sheetView>
  </sheetViews>
  <sheetFormatPr defaultColWidth="9.1796875" defaultRowHeight="14.5"/>
  <cols>
    <col min="2" max="2" width="34.7265625" customWidth="1"/>
    <col min="3" max="3" width="11.453125" customWidth="1"/>
    <col min="4" max="4" width="11.1796875" customWidth="1"/>
    <col min="5" max="5" width="14.1796875" customWidth="1"/>
    <col min="6" max="6" width="15.26953125" customWidth="1"/>
  </cols>
  <sheetData>
    <row r="1" spans="1:6">
      <c r="A1" s="130" t="s">
        <v>216</v>
      </c>
      <c r="B1" s="130"/>
      <c r="C1" s="130"/>
      <c r="D1" s="130"/>
      <c r="E1" s="130"/>
      <c r="F1" s="130"/>
    </row>
    <row r="2" spans="1:6" ht="58">
      <c r="A2" s="1" t="s">
        <v>217</v>
      </c>
      <c r="B2" s="1" t="s">
        <v>218</v>
      </c>
      <c r="C2" s="1" t="s">
        <v>219</v>
      </c>
      <c r="D2" s="1" t="s">
        <v>220</v>
      </c>
      <c r="E2" s="1" t="s">
        <v>221</v>
      </c>
      <c r="F2" s="1" t="s">
        <v>222</v>
      </c>
    </row>
    <row r="3" spans="1:6" ht="58">
      <c r="A3" s="2">
        <v>1</v>
      </c>
      <c r="B3" s="3" t="s">
        <v>223</v>
      </c>
      <c r="C3" s="4" t="s">
        <v>224</v>
      </c>
      <c r="D3" s="5"/>
      <c r="E3" s="4">
        <v>2</v>
      </c>
      <c r="F3" s="6">
        <f t="shared" ref="F3:F4" si="0">TRUNC(E3*D3,2)</f>
        <v>0</v>
      </c>
    </row>
    <row r="4" spans="1:6" ht="29">
      <c r="A4" s="7">
        <v>2</v>
      </c>
      <c r="B4" s="8" t="s">
        <v>225</v>
      </c>
      <c r="C4" s="9" t="s">
        <v>224</v>
      </c>
      <c r="D4" s="5"/>
      <c r="E4" s="10">
        <v>2</v>
      </c>
      <c r="F4" s="11">
        <f t="shared" si="0"/>
        <v>0</v>
      </c>
    </row>
    <row r="5" spans="1:6">
      <c r="A5" s="12" t="s">
        <v>44</v>
      </c>
      <c r="B5" s="13"/>
      <c r="C5" s="13"/>
      <c r="D5" s="13"/>
      <c r="E5" s="13"/>
      <c r="F5" s="14">
        <f>TRUNC(SUM(F3:F4),2)</f>
        <v>0</v>
      </c>
    </row>
    <row r="6" spans="1:6">
      <c r="A6" s="15"/>
      <c r="B6" s="16" t="s">
        <v>226</v>
      </c>
      <c r="C6" s="17"/>
      <c r="D6" s="17"/>
      <c r="E6" s="17"/>
      <c r="F6" s="18">
        <f>TRUNC(F5/12,2)</f>
        <v>0</v>
      </c>
    </row>
    <row r="9" spans="1:6">
      <c r="A9" s="130" t="s">
        <v>227</v>
      </c>
      <c r="B9" s="130"/>
      <c r="C9" s="130"/>
      <c r="D9" s="130"/>
      <c r="E9" s="130"/>
      <c r="F9" s="130"/>
    </row>
    <row r="10" spans="1:6" ht="58">
      <c r="A10" s="1" t="s">
        <v>217</v>
      </c>
      <c r="B10" s="1" t="s">
        <v>218</v>
      </c>
      <c r="C10" s="1" t="s">
        <v>219</v>
      </c>
      <c r="D10" s="1" t="s">
        <v>220</v>
      </c>
      <c r="E10" s="1" t="s">
        <v>221</v>
      </c>
      <c r="F10" s="1" t="s">
        <v>222</v>
      </c>
    </row>
    <row r="11" spans="1:6" ht="58">
      <c r="A11" s="2">
        <v>1</v>
      </c>
      <c r="B11" s="3" t="s">
        <v>223</v>
      </c>
      <c r="C11" s="4" t="s">
        <v>224</v>
      </c>
      <c r="D11" s="5"/>
      <c r="E11" s="4">
        <v>2</v>
      </c>
      <c r="F11" s="6">
        <f t="shared" ref="F11:F12" si="1">TRUNC(E11*D11,2)</f>
        <v>0</v>
      </c>
    </row>
    <row r="12" spans="1:6" ht="29">
      <c r="A12" s="19">
        <v>2</v>
      </c>
      <c r="B12" s="8" t="s">
        <v>225</v>
      </c>
      <c r="C12" s="20" t="s">
        <v>224</v>
      </c>
      <c r="D12" s="21"/>
      <c r="E12" s="22">
        <v>2</v>
      </c>
      <c r="F12" s="11">
        <f t="shared" si="1"/>
        <v>0</v>
      </c>
    </row>
    <row r="13" spans="1:6">
      <c r="A13" s="23">
        <v>3</v>
      </c>
      <c r="B13" s="24" t="s">
        <v>228</v>
      </c>
      <c r="C13" s="25" t="s">
        <v>224</v>
      </c>
      <c r="D13" s="26"/>
      <c r="E13" s="23">
        <v>1</v>
      </c>
      <c r="F13" s="2">
        <f t="shared" ref="F13" si="2">TRUNC(E13*D13,2)</f>
        <v>0</v>
      </c>
    </row>
    <row r="14" spans="1:6">
      <c r="A14" s="12" t="s">
        <v>44</v>
      </c>
      <c r="B14" s="13"/>
      <c r="C14" s="13"/>
      <c r="D14" s="13"/>
      <c r="E14" s="13"/>
      <c r="F14" s="14">
        <f>TRUNC(SUM(F11:F13),2)</f>
        <v>0</v>
      </c>
    </row>
    <row r="15" spans="1:6">
      <c r="A15" s="15"/>
      <c r="B15" s="16" t="s">
        <v>226</v>
      </c>
      <c r="C15" s="17"/>
      <c r="D15" s="17"/>
      <c r="E15" s="17"/>
      <c r="F15" s="18">
        <f>TRUNC((F14/12),2)</f>
        <v>0</v>
      </c>
    </row>
    <row r="16" spans="1:6">
      <c r="F16" s="27"/>
    </row>
    <row r="18" spans="1:7">
      <c r="A18" s="130" t="s">
        <v>229</v>
      </c>
      <c r="B18" s="130"/>
      <c r="C18" s="130"/>
      <c r="D18" s="130"/>
      <c r="E18" s="130"/>
      <c r="F18" s="130"/>
    </row>
    <row r="19" spans="1:7" ht="58">
      <c r="A19" s="1" t="s">
        <v>217</v>
      </c>
      <c r="B19" s="1" t="s">
        <v>218</v>
      </c>
      <c r="C19" s="1" t="s">
        <v>219</v>
      </c>
      <c r="D19" s="1" t="s">
        <v>220</v>
      </c>
      <c r="E19" s="1" t="s">
        <v>221</v>
      </c>
      <c r="F19" s="1" t="s">
        <v>222</v>
      </c>
    </row>
    <row r="20" spans="1:7" ht="58">
      <c r="A20" s="2">
        <v>1</v>
      </c>
      <c r="B20" s="3" t="s">
        <v>230</v>
      </c>
      <c r="C20" s="4" t="s">
        <v>224</v>
      </c>
      <c r="D20" s="5"/>
      <c r="E20" s="4">
        <v>2</v>
      </c>
      <c r="F20" s="6">
        <f t="shared" ref="F20:F23" si="3">TRUNC(E20*D20,2)</f>
        <v>0</v>
      </c>
      <c r="G20" s="28"/>
    </row>
    <row r="21" spans="1:7" ht="72.5">
      <c r="A21" s="29">
        <v>2</v>
      </c>
      <c r="B21" s="30" t="s">
        <v>231</v>
      </c>
      <c r="C21" s="31" t="s">
        <v>224</v>
      </c>
      <c r="D21" s="26"/>
      <c r="E21" s="31">
        <v>2</v>
      </c>
      <c r="F21" s="32">
        <f t="shared" si="3"/>
        <v>0</v>
      </c>
    </row>
    <row r="22" spans="1:7" ht="87">
      <c r="A22" s="2">
        <v>3</v>
      </c>
      <c r="B22" s="3" t="s">
        <v>232</v>
      </c>
      <c r="C22" s="2" t="s">
        <v>224</v>
      </c>
      <c r="D22" s="26"/>
      <c r="E22" s="2">
        <v>1</v>
      </c>
      <c r="F22" s="2">
        <f t="shared" ref="F22" si="4">TRUNC(E22*D22,2)</f>
        <v>0</v>
      </c>
    </row>
    <row r="23" spans="1:7" ht="43.5">
      <c r="A23" s="2">
        <v>5</v>
      </c>
      <c r="B23" s="3" t="s">
        <v>233</v>
      </c>
      <c r="C23" s="2" t="s">
        <v>224</v>
      </c>
      <c r="D23" s="26"/>
      <c r="E23" s="2">
        <v>2</v>
      </c>
      <c r="F23" s="2">
        <f t="shared" si="3"/>
        <v>0</v>
      </c>
    </row>
    <row r="24" spans="1:7">
      <c r="A24" s="12" t="s">
        <v>44</v>
      </c>
      <c r="B24" s="13"/>
      <c r="C24" s="13"/>
      <c r="D24" s="13"/>
      <c r="E24" s="13"/>
      <c r="F24" s="14">
        <f>TRUNC(SUM(F20:F23),2)</f>
        <v>0</v>
      </c>
    </row>
    <row r="25" spans="1:7">
      <c r="A25" s="15"/>
      <c r="B25" s="16" t="s">
        <v>226</v>
      </c>
      <c r="C25" s="17"/>
      <c r="D25" s="17"/>
      <c r="E25" s="17"/>
      <c r="F25" s="18">
        <f>TRUNC((F24/12),2)</f>
        <v>0</v>
      </c>
    </row>
    <row r="28" spans="1:7">
      <c r="A28" s="130" t="s">
        <v>234</v>
      </c>
      <c r="B28" s="130"/>
      <c r="C28" s="130"/>
      <c r="D28" s="130"/>
      <c r="E28" s="130"/>
      <c r="F28" s="130"/>
    </row>
    <row r="29" spans="1:7" ht="58">
      <c r="A29" s="1" t="s">
        <v>217</v>
      </c>
      <c r="B29" s="1" t="s">
        <v>218</v>
      </c>
      <c r="C29" s="1" t="s">
        <v>219</v>
      </c>
      <c r="D29" s="1" t="s">
        <v>220</v>
      </c>
      <c r="E29" s="1" t="s">
        <v>221</v>
      </c>
      <c r="F29" s="1" t="s">
        <v>222</v>
      </c>
    </row>
    <row r="30" spans="1:7" ht="58">
      <c r="A30" s="2">
        <v>1</v>
      </c>
      <c r="B30" s="3" t="s">
        <v>230</v>
      </c>
      <c r="C30" s="4" t="s">
        <v>224</v>
      </c>
      <c r="D30" s="5"/>
      <c r="E30" s="4">
        <v>2</v>
      </c>
      <c r="F30" s="6">
        <f t="shared" ref="F30:F33" si="5">TRUNC(E30*D30,2)</f>
        <v>0</v>
      </c>
    </row>
    <row r="31" spans="1:7" ht="72.5">
      <c r="A31" s="29">
        <v>2</v>
      </c>
      <c r="B31" s="30" t="s">
        <v>231</v>
      </c>
      <c r="C31" s="31" t="s">
        <v>224</v>
      </c>
      <c r="D31" s="26"/>
      <c r="E31" s="31">
        <v>2</v>
      </c>
      <c r="F31" s="32">
        <f t="shared" si="5"/>
        <v>0</v>
      </c>
    </row>
    <row r="32" spans="1:7" ht="87">
      <c r="A32" s="2">
        <v>3</v>
      </c>
      <c r="B32" s="3" t="s">
        <v>232</v>
      </c>
      <c r="C32" s="2" t="s">
        <v>224</v>
      </c>
      <c r="D32" s="26"/>
      <c r="E32" s="2">
        <v>1</v>
      </c>
      <c r="F32" s="2">
        <f t="shared" si="5"/>
        <v>0</v>
      </c>
    </row>
    <row r="33" spans="1:8" ht="43.5">
      <c r="A33" s="29">
        <v>4</v>
      </c>
      <c r="B33" s="30" t="s">
        <v>233</v>
      </c>
      <c r="C33" s="7" t="s">
        <v>224</v>
      </c>
      <c r="D33" s="26"/>
      <c r="E33" s="7">
        <v>2</v>
      </c>
      <c r="F33" s="7">
        <f t="shared" si="5"/>
        <v>0</v>
      </c>
    </row>
    <row r="34" spans="1:8">
      <c r="A34" s="12" t="s">
        <v>44</v>
      </c>
      <c r="B34" s="13"/>
      <c r="C34" s="13"/>
      <c r="D34" s="13"/>
      <c r="E34" s="13"/>
      <c r="F34" s="14">
        <f>TRUNC(SUM(F30:F33),2)</f>
        <v>0</v>
      </c>
    </row>
    <row r="35" spans="1:8">
      <c r="A35" s="15"/>
      <c r="B35" s="16" t="s">
        <v>226</v>
      </c>
      <c r="C35" s="17"/>
      <c r="D35" s="17"/>
      <c r="E35" s="17"/>
      <c r="F35" s="18">
        <f>TRUNC((F34/12),2)</f>
        <v>0</v>
      </c>
    </row>
    <row r="38" spans="1:8">
      <c r="A38" s="130" t="s">
        <v>250</v>
      </c>
      <c r="B38" s="130"/>
      <c r="C38" s="130"/>
      <c r="D38" s="130"/>
      <c r="E38" s="130"/>
      <c r="F38" s="130"/>
    </row>
    <row r="39" spans="1:8" ht="58">
      <c r="A39" s="1" t="s">
        <v>217</v>
      </c>
      <c r="B39" s="1" t="s">
        <v>218</v>
      </c>
      <c r="C39" s="1" t="s">
        <v>219</v>
      </c>
      <c r="D39" s="1" t="s">
        <v>220</v>
      </c>
      <c r="E39" s="1" t="s">
        <v>221</v>
      </c>
      <c r="F39" s="1" t="s">
        <v>222</v>
      </c>
    </row>
    <row r="40" spans="1:8" ht="58">
      <c r="A40" s="2">
        <v>1</v>
      </c>
      <c r="B40" s="3" t="s">
        <v>230</v>
      </c>
      <c r="C40" s="4" t="s">
        <v>224</v>
      </c>
      <c r="D40" s="5"/>
      <c r="E40" s="4">
        <v>2</v>
      </c>
      <c r="F40" s="6">
        <f t="shared" ref="F40:F42" si="6">TRUNC(E40*D40,2)</f>
        <v>0</v>
      </c>
    </row>
    <row r="41" spans="1:8" ht="72.5">
      <c r="A41" s="29">
        <v>2</v>
      </c>
      <c r="B41" s="30" t="s">
        <v>231</v>
      </c>
      <c r="C41" s="31" t="s">
        <v>224</v>
      </c>
      <c r="D41" s="26"/>
      <c r="E41" s="31">
        <v>2</v>
      </c>
      <c r="F41" s="32">
        <f t="shared" si="6"/>
        <v>0</v>
      </c>
    </row>
    <row r="42" spans="1:8" ht="29">
      <c r="A42" s="2">
        <v>3</v>
      </c>
      <c r="B42" s="3" t="s">
        <v>235</v>
      </c>
      <c r="C42" s="33" t="s">
        <v>236</v>
      </c>
      <c r="D42" s="26"/>
      <c r="E42" s="2">
        <v>1</v>
      </c>
      <c r="F42" s="2">
        <f t="shared" si="6"/>
        <v>0</v>
      </c>
      <c r="H42" s="28"/>
    </row>
    <row r="43" spans="1:8">
      <c r="A43" s="12" t="s">
        <v>44</v>
      </c>
      <c r="B43" s="13"/>
      <c r="C43" s="13"/>
      <c r="D43" s="13"/>
      <c r="E43" s="13"/>
      <c r="F43" s="14">
        <f>TRUNC(SUM(F40:F42),2)</f>
        <v>0</v>
      </c>
    </row>
    <row r="44" spans="1:8">
      <c r="A44" s="15"/>
      <c r="B44" s="16" t="s">
        <v>226</v>
      </c>
      <c r="C44" s="17"/>
      <c r="D44" s="17"/>
      <c r="E44" s="17"/>
      <c r="F44" s="18">
        <f>TRUNC((F43/12),2)</f>
        <v>0</v>
      </c>
    </row>
    <row r="47" spans="1:8">
      <c r="A47" s="130" t="s">
        <v>237</v>
      </c>
      <c r="B47" s="130"/>
      <c r="C47" s="130"/>
      <c r="D47" s="130"/>
      <c r="E47" s="130"/>
      <c r="F47" s="130"/>
    </row>
    <row r="48" spans="1:8" ht="58">
      <c r="A48" s="1" t="s">
        <v>217</v>
      </c>
      <c r="B48" s="1" t="s">
        <v>218</v>
      </c>
      <c r="C48" s="1" t="s">
        <v>219</v>
      </c>
      <c r="D48" s="1" t="s">
        <v>220</v>
      </c>
      <c r="E48" s="1" t="s">
        <v>221</v>
      </c>
      <c r="F48" s="1" t="s">
        <v>222</v>
      </c>
    </row>
    <row r="49" spans="1:6" ht="58">
      <c r="A49" s="2">
        <v>1</v>
      </c>
      <c r="B49" s="3" t="s">
        <v>238</v>
      </c>
      <c r="C49" s="4" t="s">
        <v>224</v>
      </c>
      <c r="D49" s="5"/>
      <c r="E49" s="4">
        <v>2</v>
      </c>
      <c r="F49" s="6">
        <f t="shared" ref="F49:F52" si="7">TRUNC(E49*D49,2)</f>
        <v>0</v>
      </c>
    </row>
    <row r="50" spans="1:6" ht="29">
      <c r="A50" s="29">
        <v>2</v>
      </c>
      <c r="B50" s="34" t="s">
        <v>239</v>
      </c>
      <c r="C50" s="31" t="s">
        <v>224</v>
      </c>
      <c r="D50" s="26"/>
      <c r="E50" s="31">
        <v>2</v>
      </c>
      <c r="F50" s="32">
        <f t="shared" si="7"/>
        <v>0</v>
      </c>
    </row>
    <row r="51" spans="1:6" ht="29">
      <c r="A51" s="2">
        <v>3</v>
      </c>
      <c r="B51" s="35" t="s">
        <v>240</v>
      </c>
      <c r="C51" s="33" t="s">
        <v>236</v>
      </c>
      <c r="D51" s="21"/>
      <c r="E51" s="2">
        <v>1</v>
      </c>
      <c r="F51" s="2">
        <f t="shared" si="7"/>
        <v>0</v>
      </c>
    </row>
    <row r="52" spans="1:6" ht="29">
      <c r="A52" s="29">
        <v>4</v>
      </c>
      <c r="B52" s="36" t="s">
        <v>241</v>
      </c>
      <c r="C52" s="37" t="s">
        <v>224</v>
      </c>
      <c r="D52" s="26"/>
      <c r="E52" s="29">
        <v>2</v>
      </c>
      <c r="F52" s="32">
        <f t="shared" si="7"/>
        <v>0</v>
      </c>
    </row>
    <row r="53" spans="1:6">
      <c r="A53" s="12" t="s">
        <v>44</v>
      </c>
      <c r="B53" s="13"/>
      <c r="C53" s="13"/>
      <c r="D53" s="13"/>
      <c r="E53" s="13"/>
      <c r="F53" s="14">
        <f>TRUNC(SUM(F49:F52),2)</f>
        <v>0</v>
      </c>
    </row>
    <row r="54" spans="1:6">
      <c r="A54" s="15"/>
      <c r="B54" s="16" t="s">
        <v>226</v>
      </c>
      <c r="C54" s="17"/>
      <c r="D54" s="17"/>
      <c r="E54" s="17"/>
      <c r="F54" s="18">
        <f>TRUNC((F53/12),2)</f>
        <v>0</v>
      </c>
    </row>
    <row r="55" spans="1:6">
      <c r="F55" s="27"/>
    </row>
  </sheetData>
  <mergeCells count="6">
    <mergeCell ref="A47:F47"/>
    <mergeCell ref="A1:F1"/>
    <mergeCell ref="A9:F9"/>
    <mergeCell ref="A18:F18"/>
    <mergeCell ref="A28:F28"/>
    <mergeCell ref="A38:F38"/>
  </mergeCells>
  <pageMargins left="0.75" right="0.75" top="1" bottom="1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D a t a M a s h u p   s q m i d = " e 2 a 4 9 9 5 0 - 3 2 8 9 - 4 a 8 a - 8 9 5 b - 5 3 c 5 1 3 3 4 b 7 5 1 "   x m l n s = " h t t p : / / s c h e m a s . m i c r o s o f t . c o m / D a t a M a s h u p " > A A A A A B Y D A A B Q S w M E F A A C A A g A y A h Y T s z Z p g S m A A A A + A A A A B I A H A B D b 2 5 m a W c v U G F j a 2 F n Z S 5 4 b W w g o h g A K K A U A A A A A A A A A A A A A A A A A A A A A A A A A A A A h Y / N C o J A G E V f R W b v / C i G y O c I t U 2 I g m g 7 j J M O 6 S j O m L 5 b i x 6 p V 0 g o q 1 3 L e z i L c x + 3 O 2 R T U 3 t X 1 V v d m h Q x T J G n j G w L b c o U D e 7 s x y j j s B P y I k r l z b K x y W S L F F X O d Q k h 4 z j i M c R t X 5 K A U k Z O + f Y g K 9 U I 9 J H 1 f 9 n X x j p h p E I c j q 8 Y H u B V h K O Q h Z j F D M i C I d f m q w R z M a Z A f i B s h t o N v e K d 8 9 d 7 I M s E 8 n 7 B n 1 B L A w Q U A A I A C A D I C F h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A h Y T i i K R 7 g O A A A A E Q A A A B M A H A B G b 3 J t d W x h c y 9 T Z W N 0 a W 9 u M S 5 t I K I Y A C i g F A A A A A A A A A A A A A A A A A A A A A A A A A A A A C t O T S 7 J z M 9 T C I b Q h t Y A U E s B A i 0 A F A A C A A g A y A h Y T s z Z p g S m A A A A + A A A A B I A A A A A A A A A A A A A A A A A A A A A A E N v b m Z p Z y 9 Q Y W N r Y W d l L n h t b F B L A Q I t A B Q A A g A I A M g I W E 4 P y u m r p A A A A O k A A A A T A A A A A A A A A A A A A A A A A P I A A A B b Q 2 9 u d G V u d F 9 U e X B l c 1 0 u e G 1 s U E s B A i 0 A F A A C A A g A y A h Y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t h z y a I / h t C p d F H y o F 5 j w w A A A A A A g A A A A A A E G Y A A A A B A A A g A A A A 3 7 M m + 8 3 8 3 3 9 e P c d k A P 1 i B T + D w a I V n 4 + W + q t 3 X z F y 0 8 U A A A A A D o A A A A A C A A A g A A A A S o N 8 V a H s b r 0 o R L r a M 5 S d Z C f C 8 7 4 o u d E H T y P h o v D + + b 1 Q A A A A O 8 T X n P O o k 6 M o V w g b L 4 t X i Q z 2 3 7 j e J H C Y 4 n i L h 6 1 5 S 7 / P H E m 8 V l z Q u U e m l o R R A f s g 7 6 m U K j K s o m + o u 7 P 4 g G U a 5 C z 0 H A / L Y t B a T Z N T 7 g Q b v h V A A A A A d E z x s j J U 1 a 7 f p b r g d y f V N 7 1 y u G O / + g I O T d e h W n c W 7 / X X W S 1 n 3 I i Y d N y j 1 n U H y F 5 U x g f X V v o F w / f t t z a O w k o e X A = = < / D a t a M a s h u p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5 8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T a b l e 3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T a b l e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 D e s c r i � � o < / s t r i n g > < / k e y > < v a l u e > < i n t > 2 5 2 < / i n t > < / v a l u e > < / i t e m > < i t e m > < k e y > < s t r i n g > T i p o < / s t r i n g > < / k e y > < v a l u e > < i n t > 6 3 < / i n t > < / v a l u e > < / i t e m > < i t e m > < k e y > < s t r i n g > Q u a n t i d a d e < / s t r i n g > < / k e y > < v a l u e > < i n t > 1 0 8 < / i n t > < / v a l u e > < / i t e m > < i t e m > < k e y > < s t r i n g > F r e q u � n c i a   n o   m � s / s e m e s t r e < / s t r i n g > < / k e y > < v a l u e > < i n t > 1 4 6 < / i n t > < / v a l u e > < / i t e m > < i t e m > < k e y > < s t r i n g > J o r n a d a   d e   T r a b a l h o   n o   m � s / S e m e s t r e < / s t r i n g > < / k e y > < v a l u e > < i n t > 2 7 2 < / i n t > < / v a l u e > < / i t e m > < i t e m > < k e y > < s t r i n g > P r o d u t i v i d a d e   M � n i m a < / s t r i n g > < / k e y > < v a l u e > < i n t > 1 7 2 < / i n t > < / v a l u e > < / i t e m > < i t e m > < k e y > < s t r i n g > P r o d u t i v i d a d e   M � x i m a < / s t r i n g > < / k e y > < v a l u e > < i n t > 1 7 5 < / i n t > < / v a l u e > < / i t e m > < i t e m > < k e y > < s t r i n g > P r o d u t i v i d a d e   M � d i a < / s t r i n g > < / k e y > < v a l u e > < i n t > 1 6 5 < / i n t > < / v a l u e > < / i t e m > < i t e m > < k e y > < s t r i n g > P r o d u t i v i d a d e   P e r s o n a l i z a d a < / s t r i n g > < / k e y > < v a l u e > < i n t > 2 1 2 < / i n t > < / v a l u e > < / i t e m > < i t e m > < k e y > < s t r i n g > K i < / s t r i n g > < / k e y > < v a l u e > < i n t > 4 8 < / i n t > < / v a l u e > < / i t e m > < i t e m > < k e y > < s t r i n g > Q t d e .   S e r v e n t e s < / s t r i n g > < / k e y > < v a l u e > < i n t > 1 3 6 < / i n t > < / v a l u e > < / i t e m > < i t e m > < k e y > < s t r i n g > K i   a j u s t a d o < / s t r i n g > < / k e y > < v a l u e > < i n t > 1 0 4 < / i n t > < / v a l u e > < / i t e m > < i t e m > < k e y > < s t r i n g > Q t e   a j u s t a d a < / s t r i n g > < / k e y > < v a l u e > < i n t > 1 1 4 < / i n t > < / v a l u e > < / i t e m > < i t e m > < k e y > < s t r i n g > P r o d u t i v i d a d e < / s t r i n g > < / k e y > < v a l u e > < i n t > 1 7 8 < / i n t > < / v a l u e > < / i t e m > < / C o l u m n W i d t h s > < C o l u m n D i s p l a y I n d e x > < i t e m > < k e y > < s t r i n g > D e s c r i � � o < / s t r i n g > < / k e y > < v a l u e > < i n t > 0 < / i n t > < / v a l u e > < / i t e m > < i t e m > < k e y > < s t r i n g > T i p o < / s t r i n g > < / k e y > < v a l u e > < i n t > 1 < / i n t > < / v a l u e > < / i t e m > < i t e m > < k e y > < s t r i n g > Q u a n t i d a d e < / s t r i n g > < / k e y > < v a l u e > < i n t > 2 < / i n t > < / v a l u e > < / i t e m > < i t e m > < k e y > < s t r i n g > F r e q u � n c i a   n o   m � s / s e m e s t r e < / s t r i n g > < / k e y > < v a l u e > < i n t > 3 < / i n t > < / v a l u e > < / i t e m > < i t e m > < k e y > < s t r i n g > J o r n a d a   d e   T r a b a l h o   n o   m � s / S e m e s t r e < / s t r i n g > < / k e y > < v a l u e > < i n t > 4 < / i n t > < / v a l u e > < / i t e m > < i t e m > < k e y > < s t r i n g > P r o d u t i v i d a d e   M � n i m a < / s t r i n g > < / k e y > < v a l u e > < i n t > 5 < / i n t > < / v a l u e > < / i t e m > < i t e m > < k e y > < s t r i n g > P r o d u t i v i d a d e   M � x i m a < / s t r i n g > < / k e y > < v a l u e > < i n t > 6 < / i n t > < / v a l u e > < / i t e m > < i t e m > < k e y > < s t r i n g > P r o d u t i v i d a d e   M � d i a < / s t r i n g > < / k e y > < v a l u e > < i n t > 7 < / i n t > < / v a l u e > < / i t e m > < i t e m > < k e y > < s t r i n g > P r o d u t i v i d a d e   P e r s o n a l i z a d a < / s t r i n g > < / k e y > < v a l u e > < i n t > 8 < / i n t > < / v a l u e > < / i t e m > < i t e m > < k e y > < s t r i n g > K i < / s t r i n g > < / k e y > < v a l u e > < i n t > 9 < / i n t > < / v a l u e > < / i t e m > < i t e m > < k e y > < s t r i n g > Q t d e .   S e r v e n t e s < / s t r i n g > < / k e y > < v a l u e > < i n t > 1 0 < / i n t > < / v a l u e > < / i t e m > < i t e m > < k e y > < s t r i n g > K i   a j u s t a d o < / s t r i n g > < / k e y > < v a l u e > < i n t > 1 1 < / i n t > < / v a l u e > < / i t e m > < i t e m > < k e y > < s t r i n g > Q t e   a j u s t a d a < / s t r i n g > < / k e y > < v a l u e > < i n t > 1 2 < / i n t > < / v a l u e > < / i t e m > < i t e m > < k e y > < s t r i n g > P r o d u t i v i d a d e 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 2 0 1 9 - 0 2 - 2 4 T 0 9 : 4 5 : 1 6 . 4 5 6 9 3 8 4 - 0 3 : 0 0 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 C o l u m n s \ D e s c r i � � o < / K e y > < / D i a g r a m O b j e c t K e y > < D i a g r a m O b j e c t K e y > < K e y > C o l u m n s \ T i p o < / K e y > < / D i a g r a m O b j e c t K e y > < D i a g r a m O b j e c t K e y > < K e y > C o l u m n s \ Q u a n t i d a d e < / K e y > < / D i a g r a m O b j e c t K e y > < D i a g r a m O b j e c t K e y > < K e y > C o l u m n s \ F r e q u � n c i a   n o   m � s / s e m e s t r e < / K e y > < / D i a g r a m O b j e c t K e y > < D i a g r a m O b j e c t K e y > < K e y > C o l u m n s \ J o r n a d a   d e   T r a b a l h o   n o   m � s / S e m e s t r e < / K e y > < / D i a g r a m O b j e c t K e y > < D i a g r a m O b j e c t K e y > < K e y > C o l u m n s \ P r o d u t i v i d a d e   M � n i m a < / K e y > < / D i a g r a m O b j e c t K e y > < D i a g r a m O b j e c t K e y > < K e y > C o l u m n s \ P r o d u t i v i d a d e   M � x i m a < / K e y > < / D i a g r a m O b j e c t K e y > < D i a g r a m O b j e c t K e y > < K e y > C o l u m n s \ P r o d u t i v i d a d e   M � d i a < / K e y > < / D i a g r a m O b j e c t K e y > < D i a g r a m O b j e c t K e y > < K e y > C o l u m n s \ P r o d u t i v i d a d e   P e r s o n a l i z a d a < / K e y > < / D i a g r a m O b j e c t K e y > < D i a g r a m O b j e c t K e y > < K e y > C o l u m n s \ K i < / K e y > < / D i a g r a m O b j e c t K e y > < D i a g r a m O b j e c t K e y > < K e y > C o l u m n s \ Q t d e .   S e r v e n t e s < / K e y > < / D i a g r a m O b j e c t K e y > < D i a g r a m O b j e c t K e y > < K e y > C o l u m n s \ K i   a j u s t a d o < / K e y > < / D i a g r a m O b j e c t K e y > < D i a g r a m O b j e c t K e y > < K e y > C o l u m n s \ Q t e   a j u s t a d a < / K e y > < / D i a g r a m O b j e c t K e y > < D i a g r a m O b j e c t K e y > < K e y > C o l u m n s \ P r o d u t i v i d a d e 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 C o l u m n s \ D e s c r i � � o 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 C o l u m n s \ F r e q u � n c i a   n o   m � s / s e m e s t r e 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 C o l u m n s \ J o r n a d a   d e   T r a b a l h o   n o   m � s / S e m e s t r e 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 M � n i m a 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 M � x i m a 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 M � d i a 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  P e r s o n a l i z a d a 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 C o l u m n s \ Q t d e .   S e r v e n t e s 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 C o l u m n s \ K i   a j u s t a d o 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 C o l u m n s \ Q t e   a j u s t a d a 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 C o l u m n s \ P r o d u t i v i d a d e 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 T a g s \ T a b l e s \ & l t ; T a b l e s \ T a b l e 3 & g t ; < / K e y > < / D i a g r a m O b j e c t K e y > < D i a g r a m O b j e c t K e y > < K e y > T a b l e s \ T a b l e 3 < / K e y > < / D i a g r a m O b j e c t K e y > < D i a g r a m O b j e c t K e y > < K e y > T a b l e s \ T a b l e 3 \ C o l u m n s \ D e s c r i � � o < / K e y > < / D i a g r a m O b j e c t K e y > < D i a g r a m O b j e c t K e y > < K e y > T a b l e s \ T a b l e 3 \ C o l u m n s \ T i p o < / K e y > < / D i a g r a m O b j e c t K e y > < D i a g r a m O b j e c t K e y > < K e y > T a b l e s \ T a b l e 3 \ C o l u m n s \ Q u a n t i d a d e < / K e y > < / D i a g r a m O b j e c t K e y > < D i a g r a m O b j e c t K e y > < K e y > T a b l e s \ T a b l e 3 \ C o l u m n s \ F r e q u � n c i a   n o   m � s / s e m e s t r e < / K e y > < / D i a g r a m O b j e c t K e y > < D i a g r a m O b j e c t K e y > < K e y > T a b l e s \ T a b l e 3 \ C o l u m n s \ J o r n a d a   d e   T r a b a l h o   n o   m � s / S e m e s t r e < / K e y > < / D i a g r a m O b j e c t K e y > < D i a g r a m O b j e c t K e y > < K e y > T a b l e s \ T a b l e 3 \ C o l u m n s \ P r o d u t i v i d a d e   M � n i m a < / K e y > < / D i a g r a m O b j e c t K e y > < D i a g r a m O b j e c t K e y > < K e y > T a b l e s \ T a b l e 3 \ C o l u m n s \ P r o d u t i v i d a d e   M � x i m a < / K e y > < / D i a g r a m O b j e c t K e y > < D i a g r a m O b j e c t K e y > < K e y > T a b l e s \ T a b l e 3 \ C o l u m n s \ P r o d u t i v i d a d e   M � d i a < / K e y > < / D i a g r a m O b j e c t K e y > < D i a g r a m O b j e c t K e y > < K e y > T a b l e s \ T a b l e 3 \ C o l u m n s \ P r o d u t i v i d a d e   P e r s o n a l i z a d a < / K e y > < / D i a g r a m O b j e c t K e y > < D i a g r a m O b j e c t K e y > < K e y > T a b l e s \ T a b l e 3 \ C o l u m n s \ K i < / K e y > < / D i a g r a m O b j e c t K e y > < D i a g r a m O b j e c t K e y > < K e y > T a b l e s \ T a b l e 3 \ C o l u m n s \ Q t d e .   S e r v e n t e s < / K e y > < / D i a g r a m O b j e c t K e y > < D i a g r a m O b j e c t K e y > < K e y > T a b l e s \ T a b l e 3 \ C o l u m n s \ K i   a j u s t a d o < / K e y > < / D i a g r a m O b j e c t K e y > < D i a g r a m O b j e c t K e y > < K e y > T a b l e s \ T a b l e 3 \ C o l u m n s \ Q t e   a j u s t a d a < / K e y > < / D i a g r a m O b j e c t K e y > < D i a g r a m O b j e c t K e y > < K e y > T a b l e s \ T a b l e 3 \ C o l u m n s \ P r o d u t i v i d a d e < / K e y > < / D i a g r a m O b j e c t K e y > < / A l l K e y s > < S e l e c t e d K e y s > < D i a g r a m O b j e c t K e y > < K e y > T a b l e s \ T a b l e 3 \ C o l u m n s \ P r o d u t i v i d a d e 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 T a g s \ T a b l e s \ & l t ; T a b l e s \ T a b l e 3 & g t ; 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 T a b l e s \ T a b l e 3 < / K e y > < / a : K e y > < a : V a l u e   i : t y p e = " D i a g r a m D i s p l a y N o d e V i e w S t a t e " > < H e i g h t > 4 4 4 < / H e i g h t > < I s E x p a n d e d > t r u e < / I s E x p a n d e d > < L a y e d O u t > t r u e < / L a y e d O u t > < W i d t h > 6 2 2 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 T a b l e s \ T a b l e 3 \ C o l u m n s \ D e s c r i � � o 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 T a b l e s \ T a b l e 3 \ C o l u m n s \ T i p o 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 T a b l e s \ T a b l e 3 \ C o l u m n s \ Q u a n t i d a d e 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 T a b l e s \ T a b l e 3 \ C o l u m n s \ F r e q u � n c i a   n o   m � s / s e m e s t r e 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 T a b l e s \ T a b l e 3 \ C o l u m n s \ J o r n a d a   d e   T r a b a l h o   n o   m � s / S e m e s t r e 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 M � n i m a 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 M � x i m a 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 M � d i a 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  P e r s o n a l i z a d a 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 T a b l e s \ T a b l e 3 \ C o l u m n s \ K i 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 T a b l e s \ T a b l e 3 \ C o l u m n s \ Q t d e .   S e r v e n t e s 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 T a b l e s \ T a b l e 3 \ C o l u m n s \ K i   a j u s t a d o 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 T a b l e s \ T a b l e 3 \ C o l u m n s \ Q t e   a j u s t a d a 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 T a b l e s \ T a b l e 3 \ C o l u m n s \ P r o d u t i v i d a d e 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T a b l e 3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 C o l u m n s \ F r e q u � n c i a   n o   m � s / s e m e s t r e 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 C o l u m n s \ J o r n a d a   d e   T r a b a l h o   n o   m � s / S e m e s t r e 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 M � n i m a 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 M � x i m a 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 M � d i a 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  P e r s o n a l i z a d a 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 C o l u m n s \ Q t d e .   S e r v e n t e s 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 C o l u m n s \ K i   a j u s t a d o 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 C o l u m n s \ Q t e   a j u s t a d a 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 C o l u m n s \ P r o d u t i v i d a d e 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D24CE791-0A0A-4653-9537-015962008E36}">
  <ds:schemaRefs/>
</ds:datastoreItem>
</file>

<file path=customXml/itemProps10.xml><?xml version="1.0" encoding="utf-8"?>
<ds:datastoreItem xmlns:ds="http://schemas.openxmlformats.org/officeDocument/2006/customXml" ds:itemID="{32804E0E-2ECA-4E83-87CF-BB27BCF3B2F6}">
  <ds:schemaRefs/>
</ds:datastoreItem>
</file>

<file path=customXml/itemProps11.xml><?xml version="1.0" encoding="utf-8"?>
<ds:datastoreItem xmlns:ds="http://schemas.openxmlformats.org/officeDocument/2006/customXml" ds:itemID="{46933E33-13A0-4B69-B2FA-6AAEDB07CE8E}">
  <ds:schemaRefs/>
</ds:datastoreItem>
</file>

<file path=customXml/itemProps12.xml><?xml version="1.0" encoding="utf-8"?>
<ds:datastoreItem xmlns:ds="http://schemas.openxmlformats.org/officeDocument/2006/customXml" ds:itemID="{B16AAB40-06F4-435D-8AEF-E5DD6D81CDCA}">
  <ds:schemaRefs/>
</ds:datastoreItem>
</file>

<file path=customXml/itemProps13.xml><?xml version="1.0" encoding="utf-8"?>
<ds:datastoreItem xmlns:ds="http://schemas.openxmlformats.org/officeDocument/2006/customXml" ds:itemID="{4221D6DA-6518-4041-9D3B-13E6A4AC98E7}">
  <ds:schemaRefs/>
</ds:datastoreItem>
</file>

<file path=customXml/itemProps14.xml><?xml version="1.0" encoding="utf-8"?>
<ds:datastoreItem xmlns:ds="http://schemas.openxmlformats.org/officeDocument/2006/customXml" ds:itemID="{5F29046F-1CBC-4FD4-80CF-724367A55723}">
  <ds:schemaRefs/>
</ds:datastoreItem>
</file>

<file path=customXml/itemProps15.xml><?xml version="1.0" encoding="utf-8"?>
<ds:datastoreItem xmlns:ds="http://schemas.openxmlformats.org/officeDocument/2006/customXml" ds:itemID="{3E7DADF5-98D3-409D-B380-09EE56B84F94}">
  <ds:schemaRefs/>
</ds:datastoreItem>
</file>

<file path=customXml/itemProps16.xml><?xml version="1.0" encoding="utf-8"?>
<ds:datastoreItem xmlns:ds="http://schemas.openxmlformats.org/officeDocument/2006/customXml" ds:itemID="{9BACF4D7-AB33-456E-B4D8-64981D96218B}">
  <ds:schemaRefs/>
</ds:datastoreItem>
</file>

<file path=customXml/itemProps17.xml><?xml version="1.0" encoding="utf-8"?>
<ds:datastoreItem xmlns:ds="http://schemas.openxmlformats.org/officeDocument/2006/customXml" ds:itemID="{3D0EB289-6ADA-4ABF-954F-CBB24501EBB1}">
  <ds:schemaRefs/>
</ds:datastoreItem>
</file>

<file path=customXml/itemProps2.xml><?xml version="1.0" encoding="utf-8"?>
<ds:datastoreItem xmlns:ds="http://schemas.openxmlformats.org/officeDocument/2006/customXml" ds:itemID="{44A77694-12D2-45C6-BC21-B74C17479B00}">
  <ds:schemaRefs/>
</ds:datastoreItem>
</file>

<file path=customXml/itemProps3.xml><?xml version="1.0" encoding="utf-8"?>
<ds:datastoreItem xmlns:ds="http://schemas.openxmlformats.org/officeDocument/2006/customXml" ds:itemID="{E7DDFF85-C6C0-4AA7-BEBD-C27D20512296}">
  <ds:schemaRefs/>
</ds:datastoreItem>
</file>

<file path=customXml/itemProps4.xml><?xml version="1.0" encoding="utf-8"?>
<ds:datastoreItem xmlns:ds="http://schemas.openxmlformats.org/officeDocument/2006/customXml" ds:itemID="{D59F7F65-5792-4AFD-807E-6EF0ED8CC599}">
  <ds:schemaRefs/>
</ds:datastoreItem>
</file>

<file path=customXml/itemProps5.xml><?xml version="1.0" encoding="utf-8"?>
<ds:datastoreItem xmlns:ds="http://schemas.openxmlformats.org/officeDocument/2006/customXml" ds:itemID="{D60EC4F2-A7A0-467F-9B3F-475B4E9FD7CF}">
  <ds:schemaRefs/>
</ds:datastoreItem>
</file>

<file path=customXml/itemProps6.xml><?xml version="1.0" encoding="utf-8"?>
<ds:datastoreItem xmlns:ds="http://schemas.openxmlformats.org/officeDocument/2006/customXml" ds:itemID="{AF3839CB-EB85-4B93-B2E6-2A84403A12C5}">
  <ds:schemaRefs/>
</ds:datastoreItem>
</file>

<file path=customXml/itemProps7.xml><?xml version="1.0" encoding="utf-8"?>
<ds:datastoreItem xmlns:ds="http://schemas.openxmlformats.org/officeDocument/2006/customXml" ds:itemID="{102A8123-E0B1-4E0D-AFB0-8D7CF46718CC}">
  <ds:schemaRefs/>
</ds:datastoreItem>
</file>

<file path=customXml/itemProps8.xml><?xml version="1.0" encoding="utf-8"?>
<ds:datastoreItem xmlns:ds="http://schemas.openxmlformats.org/officeDocument/2006/customXml" ds:itemID="{FE54B4C3-285F-47A7-802F-1DF735C12624}">
  <ds:schemaRefs/>
</ds:datastoreItem>
</file>

<file path=customXml/itemProps9.xml><?xml version="1.0" encoding="utf-8"?>
<ds:datastoreItem xmlns:ds="http://schemas.openxmlformats.org/officeDocument/2006/customXml" ds:itemID="{7AF3AD75-BA31-4F4A-984F-395A7399A99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28</vt:i4>
      </vt:variant>
    </vt:vector>
  </HeadingPairs>
  <TitlesOfParts>
    <vt:vector size="33" baseType="lpstr">
      <vt:lpstr>Servente</vt:lpstr>
      <vt:lpstr>Encarregado</vt:lpstr>
      <vt:lpstr>Quadro Resumo</vt:lpstr>
      <vt:lpstr>Modelo</vt:lpstr>
      <vt:lpstr>Uniformes EPI EPC</vt:lpstr>
      <vt:lpstr>Encarregado!_1A</vt:lpstr>
      <vt:lpstr>Servente!_1A</vt:lpstr>
      <vt:lpstr>Encarregado!_1B</vt:lpstr>
      <vt:lpstr>Servente!_1B</vt:lpstr>
      <vt:lpstr>Encarregado!_1C</vt:lpstr>
      <vt:lpstr>Servente!_1C</vt:lpstr>
      <vt:lpstr>Encarregado!_1D</vt:lpstr>
      <vt:lpstr>Servente!_1D</vt:lpstr>
      <vt:lpstr>Encarregado!_1E</vt:lpstr>
      <vt:lpstr>Servente!_1E</vt:lpstr>
      <vt:lpstr>Encarregado!_1F</vt:lpstr>
      <vt:lpstr>Servente!_1F</vt:lpstr>
      <vt:lpstr>Encarregado!_2.1A</vt:lpstr>
      <vt:lpstr>Servente!_2.1A</vt:lpstr>
      <vt:lpstr>Encarregado!_2.1B</vt:lpstr>
      <vt:lpstr>Servente!_2.1B</vt:lpstr>
      <vt:lpstr>Encarregado!_2.3A</vt:lpstr>
      <vt:lpstr>Servente!_2.3A</vt:lpstr>
      <vt:lpstr>Encarregado!_2.3B</vt:lpstr>
      <vt:lpstr>Servente!_2.3B</vt:lpstr>
      <vt:lpstr>Encarregado!_2.3C</vt:lpstr>
      <vt:lpstr>Servente!_2.3C</vt:lpstr>
      <vt:lpstr>Encarregado!_2.3D</vt:lpstr>
      <vt:lpstr>Servente!_2.3D</vt:lpstr>
      <vt:lpstr>Encarregado!Salário_Normativo_da_Categoria_Profissional</vt:lpstr>
      <vt:lpstr>Servente!Salário_Normativo_da_Categoria_Profissional</vt:lpstr>
      <vt:lpstr>Encarregado!SalarioBase</vt:lpstr>
      <vt:lpstr>Servente!SalarioBase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Carlos</dc:creator>
  <cp:lastModifiedBy>Karol&amp;Alexandre</cp:lastModifiedBy>
  <cp:lastPrinted>2021-02-26T11:13:50Z</cp:lastPrinted>
  <dcterms:created xsi:type="dcterms:W3CDTF">2019-02-19T21:25:00Z</dcterms:created>
  <dcterms:modified xsi:type="dcterms:W3CDTF">2021-03-26T13:09:49Z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1046-11.2.0.9967</vt:lpwstr>
  </property>
</Properties>
</file>