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comments1.xml" ContentType="application/vnd.openxmlformats-officedocument.spreadsheetml.comments+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comments2.xml" ContentType="application/vnd.openxmlformats-officedocument.spreadsheetml.comments+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comments3.xml" ContentType="application/vnd.openxmlformats-officedocument.spreadsheetml.comments+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comments4.xml" ContentType="application/vnd.openxmlformats-officedocument.spreadsheetml.comments+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comments5.xml" ContentType="application/vnd.openxmlformats-officedocument.spreadsheetml.comments+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hidePivotFieldList="1"/>
  <bookViews>
    <workbookView xWindow="0" yWindow="0" windowWidth="19440" windowHeight="7830" firstSheet="1" activeTab="1"/>
  </bookViews>
  <sheets>
    <sheet name="Servente" sheetId="18" state="hidden" r:id="rId1"/>
    <sheet name="Encarregado (Líder)" sheetId="24" r:id="rId2"/>
    <sheet name="ASG sem Insalubridade" sheetId="23" r:id="rId3"/>
    <sheet name="Encarregado" sheetId="19" state="hidden" r:id="rId4"/>
    <sheet name="ASG com Insalubridade (40%)" sheetId="26" r:id="rId5"/>
    <sheet name="Uniformes e EPI" sheetId="11" r:id="rId6"/>
    <sheet name="Equipamentos" sheetId="12" r:id="rId7"/>
    <sheet name="Materiais" sheetId="14" r:id="rId8"/>
    <sheet name="Ambientes" sheetId="1" r:id="rId9"/>
    <sheet name="Tipos de Área e Produtivida" sheetId="22" r:id="rId10"/>
    <sheet name="Valor Total da Contratação" sheetId="27" r:id="rId11"/>
  </sheets>
  <definedNames>
    <definedName name="_1A" localSheetId="3">Encarregado!$D$11</definedName>
    <definedName name="_1A" localSheetId="0">Servente!$D$11</definedName>
    <definedName name="_1A" localSheetId="9">#REF!</definedName>
    <definedName name="_1A">#REF!</definedName>
    <definedName name="_1B" localSheetId="3">Encarregado!$D$12</definedName>
    <definedName name="_1B" localSheetId="0">Servente!$D$12</definedName>
    <definedName name="_1B" localSheetId="9">#REF!</definedName>
    <definedName name="_1B">#REF!</definedName>
    <definedName name="_1C" localSheetId="3">Encarregado!$D$13</definedName>
    <definedName name="_1C" localSheetId="0">Servente!$D$13</definedName>
    <definedName name="_1C" localSheetId="9">#REF!</definedName>
    <definedName name="_1C">#REF!</definedName>
    <definedName name="_1D" localSheetId="3">Encarregado!$D$14</definedName>
    <definedName name="_1D" localSheetId="0">Servente!$D$14</definedName>
    <definedName name="_1D" localSheetId="9">#REF!</definedName>
    <definedName name="_1D">#REF!</definedName>
    <definedName name="_1E" localSheetId="3">Encarregado!$D$15</definedName>
    <definedName name="_1E" localSheetId="0">Servente!$D$15</definedName>
    <definedName name="_1E" localSheetId="9">#REF!</definedName>
    <definedName name="_1E">#REF!</definedName>
    <definedName name="_1F" localSheetId="3">Encarregado!$D$16</definedName>
    <definedName name="_1F" localSheetId="0">Servente!$D$16</definedName>
    <definedName name="_1F" localSheetId="9">#REF!</definedName>
    <definedName name="_1F">#REF!</definedName>
    <definedName name="_2.1A" localSheetId="3">Encarregado!$D$22</definedName>
    <definedName name="_2.1A" localSheetId="0">Servente!$D$22</definedName>
    <definedName name="_2.1A" localSheetId="9">#REF!</definedName>
    <definedName name="_2.1A">#REF!</definedName>
    <definedName name="_2.1B" localSheetId="3">Encarregado!$D$23</definedName>
    <definedName name="_2.1B" localSheetId="0">Servente!$D$23</definedName>
    <definedName name="_2.1B" localSheetId="9">#REF!</definedName>
    <definedName name="_2.1B">#REF!</definedName>
    <definedName name="_2.3A" localSheetId="3">Encarregado!$D$49</definedName>
    <definedName name="_2.3A" localSheetId="0">Servente!$D$49</definedName>
    <definedName name="_2.3A" localSheetId="9">#REF!</definedName>
    <definedName name="_2.3A">#REF!</definedName>
    <definedName name="_2.3B" localSheetId="3">Encarregado!$D$50</definedName>
    <definedName name="_2.3B" localSheetId="0">Servente!$D$50</definedName>
    <definedName name="_2.3B" localSheetId="9">#REF!</definedName>
    <definedName name="_2.3B">#REF!</definedName>
    <definedName name="_2.3C" localSheetId="3">Encarregado!$D$51</definedName>
    <definedName name="_2.3C" localSheetId="0">Servente!$D$51</definedName>
    <definedName name="_2.3C" localSheetId="9">#REF!</definedName>
    <definedName name="_2.3C">#REF!</definedName>
    <definedName name="_2.3D" localSheetId="3">Encarregado!$D$52</definedName>
    <definedName name="_2.3D" localSheetId="0">Servente!$D$52</definedName>
    <definedName name="_2.3D" localSheetId="9">#REF!</definedName>
    <definedName name="_2.3D">#REF!</definedName>
    <definedName name="_xlcn.WorksheetConnection_PlanilhaLimpeza.xlsxTable3" hidden="1">Table3</definedName>
    <definedName name="_xlnm.Print_Area" localSheetId="8">QuadroAmbientes[#All]</definedName>
    <definedName name="Salário_Normativo_da_Categoria_Profissional" localSheetId="3">Encarregado!$D$5</definedName>
    <definedName name="Salário_Normativo_da_Categoria_Profissional" localSheetId="0">Servente!$D$5</definedName>
    <definedName name="Salário_Normativo_da_Categoria_Profissional" localSheetId="9">#REF!</definedName>
    <definedName name="Salário_Normativo_da_Categoria_Profissional">#REF!</definedName>
    <definedName name="SalarioBase" localSheetId="3">Encarregado!$D$5</definedName>
    <definedName name="SalarioBase" localSheetId="0">Servente!$D$5</definedName>
    <definedName name="SalarioBase" localSheetId="9">#REF!</definedName>
    <definedName name="SalarioBase">#REF!</definedName>
    <definedName name="Total1" localSheetId="3">Encarregado!#REF!</definedName>
    <definedName name="Total1" localSheetId="0">Servente!#REF!</definedName>
    <definedName name="Total1" localSheetId="9">#REF!</definedName>
    <definedName name="Total1">#REF!</definedName>
    <definedName name="Total2.1" localSheetId="3">Encarregado!#REF!</definedName>
    <definedName name="Total2.1" localSheetId="0">Servente!#REF!</definedName>
    <definedName name="Total2.1" localSheetId="9">#REF!</definedName>
    <definedName name="Total2.1">#REF!</definedName>
    <definedName name="Total2.2" localSheetId="3">Encarregado!#REF!</definedName>
    <definedName name="Total2.2" localSheetId="0">Servente!#REF!</definedName>
    <definedName name="Total2.2" localSheetId="9">#REF!</definedName>
    <definedName name="Total2.2">#REF!</definedName>
    <definedName name="Total2.3" localSheetId="3">Encarregado!#REF!</definedName>
    <definedName name="Total2.3" localSheetId="0">Servente!#REF!</definedName>
    <definedName name="Total2.3" localSheetId="9">#REF!</definedName>
    <definedName name="Total2.3">#REF!</definedName>
  </definedNames>
  <calcPr calcId="144525"/>
</workbook>
</file>

<file path=xl/calcChain.xml><?xml version="1.0" encoding="utf-8"?>
<calcChain xmlns="http://schemas.openxmlformats.org/spreadsheetml/2006/main">
  <c r="M12" i="27" l="1"/>
  <c r="M11" i="27"/>
  <c r="M10" i="27"/>
  <c r="M9" i="27"/>
  <c r="M8" i="27"/>
  <c r="M7" i="27"/>
  <c r="M6" i="27"/>
  <c r="X5" i="27"/>
  <c r="M5" i="27"/>
  <c r="M4" i="27"/>
  <c r="X12" i="27"/>
  <c r="X11" i="27"/>
  <c r="X8" i="27"/>
  <c r="X7" i="27"/>
  <c r="X6" i="27"/>
  <c r="D43" i="1"/>
  <c r="F51" i="14"/>
  <c r="F52" i="14" s="1"/>
  <c r="G29" i="11"/>
  <c r="H29" i="11" s="1"/>
  <c r="G28" i="11"/>
  <c r="H28" i="11" s="1"/>
  <c r="G27" i="11"/>
  <c r="H27" i="11" s="1"/>
  <c r="G26" i="11"/>
  <c r="H26" i="11" s="1"/>
  <c r="G22" i="11"/>
  <c r="F21" i="11"/>
  <c r="G21" i="11" s="1"/>
  <c r="G20" i="11"/>
  <c r="F20" i="11"/>
  <c r="F19" i="11"/>
  <c r="G19" i="11" s="1"/>
  <c r="F18" i="11"/>
  <c r="G18" i="11" s="1"/>
  <c r="G13" i="11"/>
  <c r="H13" i="11" s="1"/>
  <c r="H12" i="11"/>
  <c r="G12" i="11"/>
  <c r="G11" i="11"/>
  <c r="H11" i="11" s="1"/>
  <c r="H10" i="11"/>
  <c r="G10" i="11"/>
  <c r="G6" i="11"/>
  <c r="H6" i="11" s="1"/>
  <c r="H5" i="11"/>
  <c r="H3" i="11"/>
  <c r="D92" i="26"/>
  <c r="D87" i="26"/>
  <c r="C82" i="26"/>
  <c r="D55" i="26"/>
  <c r="C34" i="26"/>
  <c r="C40" i="26" s="1"/>
  <c r="C23" i="26"/>
  <c r="C22" i="26"/>
  <c r="D11" i="26"/>
  <c r="D13" i="26" s="1"/>
  <c r="C137" i="19"/>
  <c r="C136" i="19"/>
  <c r="C135" i="19"/>
  <c r="C134" i="19" s="1"/>
  <c r="C133" i="19"/>
  <c r="C132" i="19"/>
  <c r="D117" i="19"/>
  <c r="D121" i="19" s="1"/>
  <c r="D147" i="19" s="1"/>
  <c r="D107" i="19"/>
  <c r="D112" i="19" s="1"/>
  <c r="C96" i="19"/>
  <c r="D50" i="19"/>
  <c r="C41" i="19"/>
  <c r="C35" i="19"/>
  <c r="D11" i="19"/>
  <c r="D92" i="23"/>
  <c r="D87" i="23"/>
  <c r="C34" i="23"/>
  <c r="C40" i="23" s="1"/>
  <c r="C23" i="23"/>
  <c r="C22" i="23"/>
  <c r="D11" i="23"/>
  <c r="D17" i="23" s="1"/>
  <c r="D92" i="24"/>
  <c r="D87" i="24"/>
  <c r="C82" i="24"/>
  <c r="C40" i="24"/>
  <c r="C34" i="24"/>
  <c r="C23" i="24"/>
  <c r="C22" i="24"/>
  <c r="D17" i="24"/>
  <c r="D68" i="24" s="1"/>
  <c r="C137" i="18"/>
  <c r="C136" i="18"/>
  <c r="C135" i="18"/>
  <c r="C134" i="18"/>
  <c r="C133" i="18"/>
  <c r="C132" i="18"/>
  <c r="D107" i="18"/>
  <c r="D112" i="18" s="1"/>
  <c r="C96" i="18"/>
  <c r="D65" i="18"/>
  <c r="D50" i="18"/>
  <c r="C35" i="18"/>
  <c r="D17" i="18"/>
  <c r="D11" i="18"/>
  <c r="H30" i="11" l="1"/>
  <c r="F33" i="12"/>
  <c r="D122" i="23"/>
  <c r="D68" i="23"/>
  <c r="D60" i="23"/>
  <c r="D61" i="23" s="1"/>
  <c r="D49" i="24"/>
  <c r="D55" i="24" s="1"/>
  <c r="D62" i="24"/>
  <c r="D26" i="24"/>
  <c r="D65" i="24"/>
  <c r="D22" i="24"/>
  <c r="D37" i="18"/>
  <c r="D34" i="18"/>
  <c r="D143" i="18"/>
  <c r="D40" i="18"/>
  <c r="D36" i="18"/>
  <c r="D23" i="18"/>
  <c r="G25" i="18"/>
  <c r="D94" i="18" s="1"/>
  <c r="D38" i="18"/>
  <c r="D22" i="18"/>
  <c r="D24" i="18" s="1"/>
  <c r="D63" i="18" s="1"/>
  <c r="D35" i="18"/>
  <c r="G24" i="18"/>
  <c r="C82" i="23"/>
  <c r="X4" i="27"/>
  <c r="D63" i="24"/>
  <c r="D64" i="24" s="1"/>
  <c r="D23" i="23"/>
  <c r="D49" i="23"/>
  <c r="D55" i="23" s="1"/>
  <c r="D63" i="23"/>
  <c r="D64" i="23" s="1"/>
  <c r="D65" i="23"/>
  <c r="D49" i="19"/>
  <c r="D54" i="19" s="1"/>
  <c r="D65" i="19" s="1"/>
  <c r="D17" i="19"/>
  <c r="D17" i="26"/>
  <c r="D23" i="24"/>
  <c r="D24" i="24" s="1"/>
  <c r="D60" i="24"/>
  <c r="D103" i="24"/>
  <c r="D103" i="23"/>
  <c r="D62" i="23"/>
  <c r="D26" i="23"/>
  <c r="D22" i="23"/>
  <c r="D24" i="23" s="1"/>
  <c r="H7" i="11"/>
  <c r="D101" i="24" s="1"/>
  <c r="H14" i="11"/>
  <c r="F30" i="14"/>
  <c r="X10" i="27"/>
  <c r="F34" i="12" l="1"/>
  <c r="F35" i="12"/>
  <c r="D66" i="23"/>
  <c r="D105" i="23" s="1"/>
  <c r="D107" i="24"/>
  <c r="K20" i="22"/>
  <c r="L20" i="22" s="1"/>
  <c r="D39" i="19"/>
  <c r="G25" i="19"/>
  <c r="D94" i="19" s="1"/>
  <c r="D22" i="19"/>
  <c r="D24" i="19" s="1"/>
  <c r="D63" i="19" s="1"/>
  <c r="D38" i="19"/>
  <c r="D143" i="19"/>
  <c r="D23" i="19"/>
  <c r="D34" i="19"/>
  <c r="D61" i="24"/>
  <c r="D66" i="24" s="1"/>
  <c r="D62" i="26"/>
  <c r="D26" i="26"/>
  <c r="D22" i="26"/>
  <c r="D103" i="26"/>
  <c r="D68" i="26"/>
  <c r="D65" i="26"/>
  <c r="D60" i="26"/>
  <c r="D23" i="26"/>
  <c r="D63" i="26"/>
  <c r="D64" i="26" s="1"/>
  <c r="D122" i="26"/>
  <c r="D27" i="23"/>
  <c r="D28" i="23" s="1"/>
  <c r="D53" i="23"/>
  <c r="D72" i="18"/>
  <c r="D71" i="18"/>
  <c r="D74" i="18"/>
  <c r="D117" i="18"/>
  <c r="D53" i="24"/>
  <c r="D27" i="24"/>
  <c r="D28" i="24" s="1"/>
  <c r="D93" i="18"/>
  <c r="D92" i="18"/>
  <c r="D95" i="18"/>
  <c r="D91" i="18"/>
  <c r="D90" i="18"/>
  <c r="D70" i="18"/>
  <c r="D75" i="18"/>
  <c r="D33" i="18"/>
  <c r="D39" i="18"/>
  <c r="F36" i="12" l="1"/>
  <c r="D70" i="23"/>
  <c r="D124" i="23"/>
  <c r="D36" i="23"/>
  <c r="D33" i="23"/>
  <c r="D38" i="23"/>
  <c r="D35" i="23"/>
  <c r="D37" i="23"/>
  <c r="D32" i="23"/>
  <c r="D39" i="23"/>
  <c r="D34" i="23"/>
  <c r="D105" i="24"/>
  <c r="D70" i="24"/>
  <c r="D38" i="24"/>
  <c r="D34" i="24"/>
  <c r="D36" i="24"/>
  <c r="D33" i="24"/>
  <c r="D37" i="24"/>
  <c r="D35" i="24"/>
  <c r="D32" i="24"/>
  <c r="D39" i="24"/>
  <c r="D96" i="18"/>
  <c r="D111" i="18" s="1"/>
  <c r="D113" i="18" s="1"/>
  <c r="D146" i="18" s="1"/>
  <c r="D40" i="19"/>
  <c r="D33" i="19"/>
  <c r="D41" i="18"/>
  <c r="D64" i="18" s="1"/>
  <c r="D66" i="18" s="1"/>
  <c r="D75" i="19"/>
  <c r="D70" i="19"/>
  <c r="D61" i="26"/>
  <c r="D66" i="26"/>
  <c r="D24" i="26"/>
  <c r="D36" i="19"/>
  <c r="D37" i="19"/>
  <c r="G24" i="19"/>
  <c r="D35" i="19"/>
  <c r="D40" i="23" l="1"/>
  <c r="D54" i="23" s="1"/>
  <c r="D56" i="23" s="1"/>
  <c r="D123" i="23" s="1"/>
  <c r="D70" i="26"/>
  <c r="D124" i="26"/>
  <c r="D105" i="26"/>
  <c r="D92" i="19"/>
  <c r="D95" i="19"/>
  <c r="D91" i="19"/>
  <c r="D90" i="19"/>
  <c r="D96" i="19" s="1"/>
  <c r="D111" i="19" s="1"/>
  <c r="D113" i="19" s="1"/>
  <c r="D146" i="19" s="1"/>
  <c r="D93" i="19"/>
  <c r="D53" i="26"/>
  <c r="D27" i="26"/>
  <c r="D28" i="26" s="1"/>
  <c r="D41" i="19"/>
  <c r="D64" i="19" s="1"/>
  <c r="D66" i="19" s="1"/>
  <c r="D40" i="24"/>
  <c r="D54" i="24" s="1"/>
  <c r="D56" i="24" s="1"/>
  <c r="D144" i="18"/>
  <c r="D73" i="18"/>
  <c r="D76" i="18" s="1"/>
  <c r="D145" i="18" s="1"/>
  <c r="D71" i="19"/>
  <c r="D74" i="19"/>
  <c r="D72" i="19"/>
  <c r="M20" i="22" l="1"/>
  <c r="D104" i="23"/>
  <c r="D69" i="23"/>
  <c r="D71" i="23" s="1"/>
  <c r="D78" i="23" s="1"/>
  <c r="B22" i="22"/>
  <c r="D120" i="18"/>
  <c r="D118" i="18"/>
  <c r="D121" i="18" s="1"/>
  <c r="D147" i="18" s="1"/>
  <c r="D132" i="18" s="1"/>
  <c r="F53" i="14"/>
  <c r="D119" i="18"/>
  <c r="F31" i="14"/>
  <c r="F37" i="12"/>
  <c r="D37" i="26"/>
  <c r="D38" i="26"/>
  <c r="D36" i="26"/>
  <c r="D33" i="26"/>
  <c r="D39" i="26"/>
  <c r="D32" i="26"/>
  <c r="D35" i="26"/>
  <c r="D34" i="26"/>
  <c r="D104" i="24"/>
  <c r="D69" i="24"/>
  <c r="D71" i="24" s="1"/>
  <c r="D144" i="19"/>
  <c r="D73" i="19"/>
  <c r="D76" i="19" s="1"/>
  <c r="D145" i="19" s="1"/>
  <c r="D40" i="26" l="1"/>
  <c r="D54" i="26" s="1"/>
  <c r="D56" i="26" s="1"/>
  <c r="D123" i="26" s="1"/>
  <c r="D81" i="23"/>
  <c r="D80" i="23"/>
  <c r="D77" i="23"/>
  <c r="D76" i="23"/>
  <c r="D79" i="23"/>
  <c r="D148" i="18"/>
  <c r="D138" i="18"/>
  <c r="D149" i="18" s="1"/>
  <c r="D133" i="18"/>
  <c r="D150" i="18" s="1"/>
  <c r="D80" i="24"/>
  <c r="D78" i="24"/>
  <c r="D76" i="24"/>
  <c r="D79" i="24"/>
  <c r="D77" i="24"/>
  <c r="D81" i="24"/>
  <c r="F55" i="14"/>
  <c r="D132" i="19"/>
  <c r="D148" i="19"/>
  <c r="D104" i="26" l="1"/>
  <c r="D69" i="26"/>
  <c r="D71" i="26" s="1"/>
  <c r="D76" i="26" s="1"/>
  <c r="D82" i="23"/>
  <c r="D91" i="23" s="1"/>
  <c r="D93" i="23" s="1"/>
  <c r="D106" i="23" s="1"/>
  <c r="D136" i="18"/>
  <c r="D134" i="18"/>
  <c r="D135" i="18"/>
  <c r="D137" i="18"/>
  <c r="D133" i="19"/>
  <c r="D150" i="19" s="1"/>
  <c r="D82" i="24"/>
  <c r="D91" i="24" s="1"/>
  <c r="D93" i="24" s="1"/>
  <c r="D81" i="26" l="1"/>
  <c r="D78" i="26"/>
  <c r="D80" i="26"/>
  <c r="D79" i="26"/>
  <c r="D77" i="26"/>
  <c r="D125" i="23"/>
  <c r="D137" i="19"/>
  <c r="D135" i="19"/>
  <c r="D134" i="19"/>
  <c r="D138" i="19" s="1"/>
  <c r="D149" i="19" s="1"/>
  <c r="D136" i="19"/>
  <c r="D106" i="24"/>
  <c r="D108" i="24" s="1"/>
  <c r="D107" i="26"/>
  <c r="D126" i="26"/>
  <c r="D107" i="23"/>
  <c r="D108" i="23" s="1"/>
  <c r="D126" i="23"/>
  <c r="D127" i="23" s="1"/>
  <c r="D82" i="26" l="1"/>
  <c r="D91" i="26" s="1"/>
  <c r="D93" i="26" s="1"/>
  <c r="D106" i="26" s="1"/>
  <c r="D108" i="26" s="1"/>
  <c r="D112" i="23"/>
  <c r="D113" i="23" s="1"/>
  <c r="D125" i="26" l="1"/>
  <c r="D127" i="26" s="1"/>
  <c r="D112" i="26"/>
  <c r="D113" i="26" s="1"/>
  <c r="D116" i="26" l="1"/>
  <c r="D117" i="26"/>
  <c r="D115" i="26"/>
  <c r="D117" i="23"/>
  <c r="D116" i="23"/>
  <c r="D115" i="23"/>
  <c r="D114" i="26" l="1"/>
  <c r="D118" i="26" s="1"/>
  <c r="D128" i="26" s="1"/>
  <c r="D129" i="26" s="1"/>
  <c r="G46" i="27" s="1"/>
  <c r="I46" i="27" s="1"/>
  <c r="D114" i="23"/>
  <c r="D118" i="23" s="1"/>
  <c r="D128" i="23" s="1"/>
  <c r="D129" i="23" s="1"/>
  <c r="G30" i="27" s="1"/>
  <c r="I30" i="27" s="1"/>
  <c r="G38" i="27" l="1"/>
  <c r="I38" i="27" s="1"/>
  <c r="G54" i="27"/>
  <c r="I54" i="27" s="1"/>
  <c r="G22" i="27"/>
  <c r="I22" i="27" s="1"/>
  <c r="G62" i="27"/>
  <c r="I62" i="27" s="1"/>
  <c r="G70" i="27"/>
  <c r="I70" i="27" s="1"/>
  <c r="G14" i="27"/>
  <c r="I14" i="27" s="1"/>
  <c r="G6" i="27"/>
  <c r="I6" i="27" s="1"/>
  <c r="G78" i="27"/>
  <c r="I78" i="27" s="1"/>
  <c r="G13" i="27"/>
  <c r="I13" i="27" s="1"/>
  <c r="G77" i="27" l="1"/>
  <c r="I77" i="27" s="1"/>
  <c r="I79" i="27" s="1"/>
  <c r="G45" i="27"/>
  <c r="I45" i="27" s="1"/>
  <c r="I47" i="27" s="1"/>
  <c r="U9" i="27" s="1"/>
  <c r="Z9" i="27" s="1"/>
  <c r="G69" i="27"/>
  <c r="I69" i="27" s="1"/>
  <c r="I71" i="27" s="1"/>
  <c r="U12" i="27" s="1"/>
  <c r="Z12" i="27" s="1"/>
  <c r="G37" i="27"/>
  <c r="I37" i="27" s="1"/>
  <c r="I39" i="27" s="1"/>
  <c r="U8" i="27" s="1"/>
  <c r="Z8" i="27" s="1"/>
  <c r="G61" i="27"/>
  <c r="I61" i="27" s="1"/>
  <c r="I63" i="27" s="1"/>
  <c r="U11" i="27" s="1"/>
  <c r="Z11" i="27" s="1"/>
  <c r="G29" i="27"/>
  <c r="I29" i="27" s="1"/>
  <c r="I31" i="27" s="1"/>
  <c r="U7" i="27" s="1"/>
  <c r="Z7" i="27" s="1"/>
  <c r="I15" i="27"/>
  <c r="U5" i="27" s="1"/>
  <c r="Z5" i="27" s="1"/>
  <c r="G53" i="27"/>
  <c r="I53" i="27" s="1"/>
  <c r="I55" i="27" s="1"/>
  <c r="U10" i="27" s="1"/>
  <c r="Z10" i="27" s="1"/>
  <c r="G21" i="27"/>
  <c r="I21" i="27" s="1"/>
  <c r="I23" i="27" s="1"/>
  <c r="U6" i="27" s="1"/>
  <c r="Z6" i="27" s="1"/>
  <c r="G5" i="27"/>
  <c r="I5" i="27" s="1"/>
  <c r="I7" i="27" s="1"/>
  <c r="U4" i="27" s="1"/>
  <c r="Z4" i="27" s="1"/>
  <c r="Z14" i="27" l="1"/>
  <c r="Z15" i="27" s="1"/>
</calcChain>
</file>

<file path=xl/comments1.xml><?xml version="1.0" encoding="utf-8"?>
<comments xmlns="http://schemas.openxmlformats.org/spreadsheetml/2006/main">
  <authors>
    <author>Daniel Carlos</author>
  </authors>
  <commentList>
    <comment ref="G16" authorId="0">
      <text>
        <r>
          <rPr>
            <b/>
            <sz val="9"/>
            <rFont val="Tahoma"/>
            <charset val="134"/>
          </rPr>
          <t>Daniel Carlos:</t>
        </r>
        <r>
          <rPr>
            <sz val="9"/>
            <rFont val="Tahoma"/>
            <charset val="134"/>
          </rPr>
          <t xml:space="preserve">
Valores que constam no caderno técnico. A unidade deve realizar pesquisa de mercado para o levantamento do percentual médio destas rubricas.</t>
        </r>
      </text>
    </comment>
  </commentList>
</comments>
</file>

<file path=xl/comments2.xml><?xml version="1.0" encoding="utf-8"?>
<comments xmlns="http://schemas.openxmlformats.org/spreadsheetml/2006/main">
  <authors>
    <author>Daniel Carlos</author>
  </authors>
  <commentList>
    <comment ref="G16" authorId="0">
      <text>
        <r>
          <rPr>
            <b/>
            <sz val="9"/>
            <rFont val="Tahoma"/>
            <charset val="134"/>
          </rPr>
          <t>Daniel Carlos:</t>
        </r>
        <r>
          <rPr>
            <sz val="9"/>
            <rFont val="Tahoma"/>
            <charset val="134"/>
          </rPr>
          <t xml:space="preserve">
Valores que constam no caderno técnico. A unidade deve realizar pesquisa de mercado para o levantamento do percentual médio destas rubricas.</t>
        </r>
      </text>
    </comment>
  </commentList>
</comments>
</file>

<file path=xl/comments3.xml><?xml version="1.0" encoding="utf-8"?>
<comments xmlns="http://schemas.openxmlformats.org/spreadsheetml/2006/main">
  <authors>
    <author>Daniel Carlos</author>
  </authors>
  <commentList>
    <comment ref="G16" authorId="0">
      <text>
        <r>
          <rPr>
            <b/>
            <sz val="9"/>
            <rFont val="Tahoma"/>
            <charset val="134"/>
          </rPr>
          <t>Daniel Carlos:</t>
        </r>
        <r>
          <rPr>
            <sz val="9"/>
            <rFont val="Tahoma"/>
            <charset val="134"/>
          </rPr>
          <t xml:space="preserve">
Valores que constam no caderno técnico. A unidade deve realizar pesquisa de mercado para o levantamento do percentual médio destas rubricas.</t>
        </r>
      </text>
    </comment>
  </commentList>
</comments>
</file>

<file path=xl/comments4.xml><?xml version="1.0" encoding="utf-8"?>
<comments xmlns="http://schemas.openxmlformats.org/spreadsheetml/2006/main">
  <authors>
    <author>Daniel Carlos</author>
  </authors>
  <commentList>
    <comment ref="G16" authorId="0">
      <text>
        <r>
          <rPr>
            <b/>
            <sz val="9"/>
            <rFont val="Tahoma"/>
            <charset val="134"/>
          </rPr>
          <t>Daniel Carlos:</t>
        </r>
        <r>
          <rPr>
            <sz val="9"/>
            <rFont val="Tahoma"/>
            <charset val="134"/>
          </rPr>
          <t xml:space="preserve">
Valores que constam no caderno técnico. A unidade deve realizar pesquisa de mercado para o levantamento do percentual médio destas rubricas.</t>
        </r>
      </text>
    </comment>
  </commentList>
</comments>
</file>

<file path=xl/comments5.xml><?xml version="1.0" encoding="utf-8"?>
<comments xmlns="http://schemas.openxmlformats.org/spreadsheetml/2006/main">
  <authors>
    <author>Daniel Carlos</author>
  </authors>
  <commentList>
    <comment ref="G16" authorId="0">
      <text>
        <r>
          <rPr>
            <b/>
            <sz val="9"/>
            <rFont val="Tahoma"/>
            <charset val="134"/>
          </rPr>
          <t>Daniel Carlos:</t>
        </r>
        <r>
          <rPr>
            <sz val="9"/>
            <rFont val="Tahoma"/>
            <charset val="134"/>
          </rPr>
          <t xml:space="preserve">
Valores que constam no caderno técnico. A unidade deve realizar pesquisa de mercado para o levantamento do percentual médio destas rubricas.</t>
        </r>
      </text>
    </comment>
  </commentList>
</comments>
</file>

<file path=xl/comments6.xml><?xml version="1.0" encoding="utf-8"?>
<comments xmlns="http://schemas.openxmlformats.org/spreadsheetml/2006/main">
  <authors>
    <author>Daniel Carlos</author>
  </authors>
  <commentList>
    <comment ref="C2" authorId="0">
      <text>
        <r>
          <rPr>
            <b/>
            <sz val="9"/>
            <rFont val="Tahoma"/>
            <charset val="134"/>
          </rPr>
          <t>Daniel Carlos:</t>
        </r>
        <r>
          <rPr>
            <sz val="9"/>
            <rFont val="Tahoma"/>
            <charset val="134"/>
          </rPr>
          <t xml:space="preserve">
Utilizar esta coluna para inserir diretamente o quantitativo de m² para cada tipo de área, caso não se utilize a planilha "ambientes".</t>
        </r>
      </text>
    </comment>
  </commentList>
</comments>
</file>

<file path=xl/connections.xml><?xml version="1.0" encoding="utf-8"?>
<connections xmlns="http://schemas.openxmlformats.org/spreadsheetml/2006/main">
  <connection id="1" name="WorksheetConnection_Planilha Limpeza.xlsx!Table3" type="5" refreshedVersion="2" saveData="1">
    <dbPr connection="" command=""/>
  </connection>
</connections>
</file>

<file path=xl/sharedStrings.xml><?xml version="1.0" encoding="utf-8"?>
<sst xmlns="http://schemas.openxmlformats.org/spreadsheetml/2006/main" count="1879" uniqueCount="425">
  <si>
    <t>Dados para composição dos custos referentes a mão de obra</t>
  </si>
  <si>
    <t>Dados Gerais</t>
  </si>
  <si>
    <t>Item</t>
  </si>
  <si>
    <t>Descrição</t>
  </si>
  <si>
    <t>Comentário</t>
  </si>
  <si>
    <t>Valor</t>
  </si>
  <si>
    <t xml:space="preserve">Tipo de Serviço </t>
  </si>
  <si>
    <t>Limpeza</t>
  </si>
  <si>
    <t>Valor do Vale Transporte</t>
  </si>
  <si>
    <t>Classificação Brasileira de Ocupações (CBO)</t>
  </si>
  <si>
    <t xml:space="preserve">5143-20 </t>
  </si>
  <si>
    <t>Valor do Auxílio Alimentação</t>
  </si>
  <si>
    <t>Salário Normativo da Categoria Profissional</t>
  </si>
  <si>
    <t>CCT PB000199/2019 (Grupo 01)</t>
  </si>
  <si>
    <t>Dias de Trabalho no mês</t>
  </si>
  <si>
    <t>Categoria Profissional</t>
  </si>
  <si>
    <t xml:space="preserve"> CCT PB000199/2019</t>
  </si>
  <si>
    <t>Servente de Limpeza</t>
  </si>
  <si>
    <t>RAT x SAT</t>
  </si>
  <si>
    <t>Data-Base da Categoria</t>
  </si>
  <si>
    <t>01 de Janeiro</t>
  </si>
  <si>
    <t>Dados sobre Desligamento</t>
  </si>
  <si>
    <t>Módulo 1 - Composição da Remuneração</t>
  </si>
  <si>
    <t>Tipos</t>
  </si>
  <si>
    <t>Percentual</t>
  </si>
  <si>
    <t>1</t>
  </si>
  <si>
    <t>Composição da Remuneração</t>
  </si>
  <si>
    <t>SEM justa causa - AP INDENIZADO</t>
  </si>
  <si>
    <t>A</t>
  </si>
  <si>
    <t>Salário-Base</t>
  </si>
  <si>
    <t>SEM justa causa - AP TRABALHADO</t>
  </si>
  <si>
    <t>B</t>
  </si>
  <si>
    <t>Adicional de Periculosidade</t>
  </si>
  <si>
    <t>Demissões COM justa causa</t>
  </si>
  <si>
    <t>C</t>
  </si>
  <si>
    <t>Adicional de Insalubridade</t>
  </si>
  <si>
    <t>D</t>
  </si>
  <si>
    <t>Adicional Noturno</t>
  </si>
  <si>
    <t>CITL</t>
  </si>
  <si>
    <t>E</t>
  </si>
  <si>
    <t>Adicional de Hora Noturna Reduzida</t>
  </si>
  <si>
    <t>F</t>
  </si>
  <si>
    <t>Outros (especificar)</t>
  </si>
  <si>
    <t>Custos indiretos</t>
  </si>
  <si>
    <t>Total</t>
  </si>
  <si>
    <t>Lucro</t>
  </si>
  <si>
    <t>PIS</t>
  </si>
  <si>
    <t>Módulo 2 - Encargos e Benefícios Anuais, Mensais e Diários</t>
  </si>
  <si>
    <t>COFINS</t>
  </si>
  <si>
    <t> Submódulo 2.1 - 13º (décimo terceiro) Salário e Adicional de Férias</t>
  </si>
  <si>
    <t>ISS</t>
  </si>
  <si>
    <t>2.1</t>
  </si>
  <si>
    <t>13º (décimo terceiro) Salário e Adicional de Férias</t>
  </si>
  <si>
    <t>13º (décimo terceiro) Salário</t>
  </si>
  <si>
    <t>Base de Cálculo para o Custo do Profissional Ausente</t>
  </si>
  <si>
    <t>Adicional de Férias</t>
  </si>
  <si>
    <t>BCPPA</t>
  </si>
  <si>
    <t>BCPPA (Afastamento Maternidade)</t>
  </si>
  <si>
    <t>Memória de Cálculo - Submódulo 2.1</t>
  </si>
  <si>
    <t>Rubrica</t>
  </si>
  <si>
    <t>Base de Cálculo</t>
  </si>
  <si>
    <t>Memória de Cálculo</t>
  </si>
  <si>
    <t>13 º (décimo terceiro) Salário</t>
  </si>
  <si>
    <t>Módulo 1 (Total)</t>
  </si>
  <si>
    <t>8,33%  x Base de Cálculo, Sendo 8,33% = 1 ÷ 12</t>
  </si>
  <si>
    <t>Base de Cálculo x (1 ÷ 3)</t>
  </si>
  <si>
    <t>Submódulo 2.2 - Encargos Previdenciários (GPS), Fundo de Garantia por Tempo de Serviço (FGTS) e outras contribuições.</t>
  </si>
  <si>
    <t>2.2</t>
  </si>
  <si>
    <t>GPS, FGTS e outras contribuições</t>
  </si>
  <si>
    <t xml:space="preserve">Valor </t>
  </si>
  <si>
    <t>INSS</t>
  </si>
  <si>
    <t>Salário Educação</t>
  </si>
  <si>
    <t>SAT</t>
  </si>
  <si>
    <t>SESC ou SESI</t>
  </si>
  <si>
    <t>SENAI - SENAC</t>
  </si>
  <si>
    <t>SEBRAE</t>
  </si>
  <si>
    <t>G</t>
  </si>
  <si>
    <t>INCRA</t>
  </si>
  <si>
    <t>H</t>
  </si>
  <si>
    <t>FGTS</t>
  </si>
  <si>
    <t>Memória de Cálculo - Submódulo 2.2</t>
  </si>
  <si>
    <t>A a H</t>
  </si>
  <si>
    <t>Módulo 1 (Total) + Submódulo 2.1</t>
  </si>
  <si>
    <t>Alíquota x Base de Cálculo</t>
  </si>
  <si>
    <t>Submódulo 2.3 - Benefícios Mensais e Diários.</t>
  </si>
  <si>
    <t>2.3</t>
  </si>
  <si>
    <t>Benefícios Mensais e Diários</t>
  </si>
  <si>
    <t>Transporte</t>
  </si>
  <si>
    <t>Auxílio-Refeição/Alimentação</t>
  </si>
  <si>
    <t>Seguro de Vida</t>
  </si>
  <si>
    <t>Auxílio-Morte/Funeral</t>
  </si>
  <si>
    <t>Cláusula Décima Sexta da CCT</t>
  </si>
  <si>
    <t>Benefício Odontológico</t>
  </si>
  <si>
    <t>Cláusula Décima Quarta da CCT</t>
  </si>
  <si>
    <t>Memória de Cálculo - Submódulo 2.3</t>
  </si>
  <si>
    <t>-</t>
  </si>
  <si>
    <t>(Valor do Vale x 2 Vales/dia x Dias de Trabalho) - 6% x Salário Base</t>
  </si>
  <si>
    <t>(Valor do Vale Alim. x Qtde. Dias de Trab)  x 80%</t>
  </si>
  <si>
    <t>Quadro-Resumo do Módulo 2 - Encargos e Benefícios anuais, mensais e diários</t>
  </si>
  <si>
    <t>2</t>
  </si>
  <si>
    <t>Encargos e Benefícios Anuais, Mensais e Diários</t>
  </si>
  <si>
    <t>Módulo 3 - Provisão para Rescisão</t>
  </si>
  <si>
    <t>3</t>
  </si>
  <si>
    <t>Provisão para Rescisão</t>
  </si>
  <si>
    <t>Aviso Prévio Indenizado</t>
  </si>
  <si>
    <t>Incidência do FGTS sobre o Aviso Prévio Indenizado</t>
  </si>
  <si>
    <t>Multa do FGTS e contribuição social sobre o Aviso Prévio Indenizado</t>
  </si>
  <si>
    <t>Aviso Prévio Trabalhado</t>
  </si>
  <si>
    <t>Multa do FGTS e contribuição social sobre o Aviso Prévio Trabalhado</t>
  </si>
  <si>
    <t>(-)Demissão por justa causa</t>
  </si>
  <si>
    <t>Memória de Cálculo - Módulo 3</t>
  </si>
  <si>
    <t>Módulo 1 (Total) + Submódulo 2.1 + Submódulo 2.3</t>
  </si>
  <si>
    <t>(Base de Cálculo / 12) x Percentual de AP Indenizado (Tabela "Dados sobre desligamento")</t>
  </si>
  <si>
    <t>Item H do submódulo 2.2 (FGTS)</t>
  </si>
  <si>
    <t>Base de Cálculo x 50 % (40% de multa + 10% contribuição social) x Percentual de AP Indenizado (Tabela "Dados sobre desligamento")</t>
  </si>
  <si>
    <t>Módulo 1 (Total) + Módulo 2 (Total)</t>
  </si>
  <si>
    <t>(Base de Cálculo / 12) x Percentual de AP Trabalhado (Tabela "Dados sobre desligamento")</t>
  </si>
  <si>
    <t>Base de Cálculo x 50 % (40% de multa + 10% contribuição social) x Percentual de AP Trabalhado (Tabela "Dados sobre desligamento")</t>
  </si>
  <si>
    <t>Submódulo 2.1</t>
  </si>
  <si>
    <t>Base de Cálculo x Percentual de Demissões COM justa Causa (Tabela "Dados sobre desligamento")</t>
  </si>
  <si>
    <t xml:space="preserve">Módulo 4 - Custo de Reposição do Profissional Ausente
</t>
  </si>
  <si>
    <t>Submódulo 4.1 - Substituto nas Ausências Legais</t>
  </si>
  <si>
    <t>4.1</t>
  </si>
  <si>
    <t>Substituto nas Ausências Legais</t>
  </si>
  <si>
    <t>Dias de ausência</t>
  </si>
  <si>
    <t>Substituto na cobertura de Férias</t>
  </si>
  <si>
    <t>Substituto na cobertura de Ausências Legais</t>
  </si>
  <si>
    <t>Substituto na cobertura de Licença-Paternidade</t>
  </si>
  <si>
    <t>Substituto na cobertura de Ausência por acidente de trabalho</t>
  </si>
  <si>
    <t>Substituto na cobertura de Afastamento Maternidade</t>
  </si>
  <si>
    <t>Substituto na cobertura de Ausência por Doença</t>
  </si>
  <si>
    <t>Memória de Cálculo - Módulo 4</t>
  </si>
  <si>
    <t>A a F</t>
  </si>
  <si>
    <t>Dias de Ausência conforme caderno técnico de limpeza/PB 2018, p. 20.</t>
  </si>
  <si>
    <t>A, B, C, D e F</t>
  </si>
  <si>
    <t>Valor das rubricas</t>
  </si>
  <si>
    <t xml:space="preserve">Custo diário para o repositor = (Módulo 1 + SubMódulo 2.1 + (Módulo1 / 12) * (100% + Submódulo 2.2 (%)) / 30 </t>
  </si>
  <si>
    <t>(Base de cálculo x Dias de Ausência) / 12</t>
  </si>
  <si>
    <t>Valor das Rubricas</t>
  </si>
  <si>
    <t>Custo diário para o repositor (afastamento maternidade) = ([Módulo 1 x (1 +1/3) x (100% + % sbmódulo 2.2) ]/12 )/ 30</t>
  </si>
  <si>
    <t>Submódulo 4.2 - Substituto na Intrajornada</t>
  </si>
  <si>
    <t>4.2</t>
  </si>
  <si>
    <t>Substituto na Intrajornada </t>
  </si>
  <si>
    <t>Substituto na cobertura de Intervalo para repouso ou alimentação</t>
  </si>
  <si>
    <t>Quadro-Resumo do Módulo 4 - Custo de Reposição do Profissional Ausente</t>
  </si>
  <si>
    <t>4</t>
  </si>
  <si>
    <t>Custo de Reposição do Profissional Ausente</t>
  </si>
  <si>
    <t>Substituto na Intrajornada</t>
  </si>
  <si>
    <t>Módulo 5 - Insumos Diversos</t>
  </si>
  <si>
    <t>5</t>
  </si>
  <si>
    <t>Insumos Diversos</t>
  </si>
  <si>
    <t>Uniformes</t>
  </si>
  <si>
    <t>Materiais</t>
  </si>
  <si>
    <t>Equipamentos</t>
  </si>
  <si>
    <t>EPI</t>
  </si>
  <si>
    <t>Memória de Cálculo - Módulo 5</t>
  </si>
  <si>
    <t>Tabela Uniformes Serventes</t>
  </si>
  <si>
    <t>Total da Tabela Materiais</t>
  </si>
  <si>
    <t>Base de Cálculo / Qtde. de Serventes</t>
  </si>
  <si>
    <t>Custo total dos equipamentos (Manutenção + Depreciação)</t>
  </si>
  <si>
    <t>Módulo 6 - Custos Indiretos, Tributos e Lucro</t>
  </si>
  <si>
    <t>6</t>
  </si>
  <si>
    <t>Custos Indiretos, Tributos e Lucro</t>
  </si>
  <si>
    <t>Custos Indiretos</t>
  </si>
  <si>
    <t>Tributos</t>
  </si>
  <si>
    <t>C.1</t>
  </si>
  <si>
    <t>C.2</t>
  </si>
  <si>
    <t>C.3</t>
  </si>
  <si>
    <t>QUADRO-RESUMO DO CUSTO POR EMPREGADO</t>
  </si>
  <si>
    <t>Mão de obra vinculada à execução contratual</t>
  </si>
  <si>
    <t>Módulo 4 - Custo de Reposição do Profissional Ausente</t>
  </si>
  <si>
    <t>Subtotal (A + B +C+ D+E)</t>
  </si>
  <si>
    <t>Valor Total por Empregado</t>
  </si>
  <si>
    <t xml:space="preserve"> CCT PB00041/2020 (GRUPO VI)</t>
  </si>
  <si>
    <t xml:space="preserve"> CCT PB00041/2020</t>
  </si>
  <si>
    <t>Encarregado</t>
  </si>
  <si>
    <t>BASE DE CÁLCULO PARA O SUBMÓDULO 2.2</t>
  </si>
  <si>
    <t>MÓDULO 1</t>
  </si>
  <si>
    <t>MÓDULO 2.1</t>
  </si>
  <si>
    <t>TOTAL</t>
  </si>
  <si>
    <t>Incidência de GPS, FGTS e outras contribuições sobre o Aviso Prévio Trabalhado</t>
  </si>
  <si>
    <t>BASE DE CÁLCULO PARA O MÓDULO 4</t>
  </si>
  <si>
    <t>MÓDULO 2</t>
  </si>
  <si>
    <t>MÓDULO 3</t>
  </si>
  <si>
    <t>Substituto na cobertura de Outras ausências (especificar)</t>
  </si>
  <si>
    <t>BASE DE CÁLCULO PARA O MÓDULO 6</t>
  </si>
  <si>
    <t>MÓDULO 4</t>
  </si>
  <si>
    <t>MÓDULO 5</t>
  </si>
  <si>
    <t>CÁLCULO POR DENTRO</t>
  </si>
  <si>
    <t>TOTAL DOS TRIBUTOS</t>
  </si>
  <si>
    <t>BASE DE CÁLCULO</t>
  </si>
  <si>
    <t>ÍNDICE</t>
  </si>
  <si>
    <t xml:space="preserve"> CCT PB00041/2020 (GRUPO I)</t>
  </si>
  <si>
    <t>ASG</t>
  </si>
  <si>
    <t>Banheiros (40%)</t>
  </si>
  <si>
    <t>Uniformes Encarregado</t>
  </si>
  <si>
    <t>Peça</t>
  </si>
  <si>
    <t>Unidade</t>
  </si>
  <si>
    <t>Valor Médio Unitário (R$)</t>
  </si>
  <si>
    <t>Quant. Anual</t>
  </si>
  <si>
    <t>Valor Anual/ Empregado (R$)</t>
  </si>
  <si>
    <t>Valor Mensal/ Empregado</t>
  </si>
  <si>
    <t>Camiseta</t>
  </si>
  <si>
    <t>Camiseta tipo polo masculina e/ou feminina, três botões, manga curta, malha fria, cor a ser definida pela Empresa, bolso único no lado esquerdo bordado com logomarca da Empresa nos tamanhos P, M, G, GG e XG.</t>
  </si>
  <si>
    <t>UND</t>
  </si>
  <si>
    <t>Calça</t>
  </si>
  <si>
    <t>Calça jeans unissex tradicional fechamento com zíper e um botão, dois bolsos traseiros, dois bolsos frontais nos tamanhos P, M, G, GG e XG.</t>
  </si>
  <si>
    <t>Meia</t>
  </si>
  <si>
    <t>Meia, modelo cano alto , composição: 88% Algodão, 2% Lycra e 10% Poliamida, na cor preta.</t>
  </si>
  <si>
    <t>PAR</t>
  </si>
  <si>
    <t>Calçado</t>
  </si>
  <si>
    <t>Tênis Adventure Coturno unissex. Confeccionado em material sintético, forrado cacharrel Palmilha confortável. Solado de borracha antiderrapante, que proporcionam maior estabilidade ao solo.</t>
  </si>
  <si>
    <t>Uniformes Servente</t>
  </si>
  <si>
    <t>UNIDADE</t>
  </si>
  <si>
    <t xml:space="preserve">Calça 100% poliéster com elástico no cós, bolso modelo simples tradicional frontal, nos tamanhos P, M, G, GG e XG. </t>
  </si>
  <si>
    <t>Botina de Segurança com elástico lateral recoberto confeccionado em vaqueta estampa relax dorso acolchoado forro interno na gáspea não tecido e forro do cano em sanitec dublado com manta de não tecido com tratamento antimicrobiano bico plástico palmilha de montagem não tecido solado nitrílico colado e baqueado e sobre palmilha antimicrobiana.</t>
  </si>
  <si>
    <t>Comprida, com elástico e cordão, de gabardine.</t>
  </si>
  <si>
    <t>Malha fria PV, gola careca, com emblema da empresa.</t>
  </si>
  <si>
    <t>De algodão, tipo soquete.</t>
  </si>
  <si>
    <t xml:space="preserve">Tênis preto em couro, solado baixo, com palmilha  antibacteriana. </t>
  </si>
  <si>
    <t>EPI Limpeza</t>
  </si>
  <si>
    <t>UNIDADE2</t>
  </si>
  <si>
    <t>Valor Total Anual (R$)</t>
  </si>
  <si>
    <t>Valor Total Mensal (R$)</t>
  </si>
  <si>
    <t>Avental</t>
  </si>
  <si>
    <t xml:space="preserve">Avental PVC com forro Preto 1,2 metros </t>
  </si>
  <si>
    <t>Luva</t>
  </si>
  <si>
    <t>Luva de vaqueta mista</t>
  </si>
  <si>
    <t>Protetor Facial</t>
  </si>
  <si>
    <t>Protetor facial incolor</t>
  </si>
  <si>
    <t>Capa de Chuva</t>
  </si>
  <si>
    <t>Capa de chuva - capa chuva, material napa, tipo uso passeio, transmitância opaca, cor incolor, características adicionais com capuz.</t>
  </si>
  <si>
    <t>Estimativa ANUAL de utensílios de USO NÃO EXCEPCIONAL</t>
  </si>
  <si>
    <t>Valor Médio Unitário</t>
  </si>
  <si>
    <t>Quant.</t>
  </si>
  <si>
    <t>Valor Total (R$)</t>
  </si>
  <si>
    <t>Placas de sinalização de limpeza confeccionada em acrílico, tipo “Piso Molhado”</t>
  </si>
  <si>
    <t>Placas de Sinalização, confeccionada em acrílico, tipo “Banheiro Fora de Uso”</t>
  </si>
  <si>
    <t>Placas de Sinalização, confeccionada em acrílico, tipo “Em manutenção”</t>
  </si>
  <si>
    <t>Extensão Elétrica, fio paralelo de 2,5 mm e 40 m de comprimento.</t>
  </si>
  <si>
    <t>Extensão elétrica com 20 m de comprimento</t>
  </si>
  <si>
    <t>Extensão Elétrica trifásica, 2,5 mm, 100m de comprimento.</t>
  </si>
  <si>
    <t>Escada articulada de alumínio, multiuso de 12 degraus</t>
  </si>
  <si>
    <t>Escada de alumínio tipo tesoura com 06 degraus</t>
  </si>
  <si>
    <t>Espátula de aço</t>
  </si>
  <si>
    <t>Carrinho de mão - carrinho mão, material caçamba chapa aço galvanizado, material chassi ferro, material pés ferro, tipo travessa suporte dianteiro caçamba, quantidade roda 1, tipo roda pneu maciço, com 3,2 pol de diâmetro, espessura caçamba 5 mm, comprimento eixo 25 cm, comprimento 80 cm, largura 62 cm, altura 20 cm</t>
  </si>
  <si>
    <t>Carro plataforma 04 (quatro) rodas: Confeccionado em perfil de chapa de aço e estrutura tubular. Medidas: 150 x 80 cm (comp x larg). Possui uma aba de 70cm de altura. Rodagem: possui quatro rodas pneumáticas 410-350x8 aro chapa roletada, sendo giratórias. Capacidade de carga 800 kg.</t>
  </si>
  <si>
    <t>Tesoura de grama</t>
  </si>
  <si>
    <t>Enxada - enxada, material aço carbono, material encaixe cabo ferro fundido, largura 30 cm, altura 18 cm, peso 1 Kg, tipo estampado (achatado), material cabo madeira, comprimento cabo 150cm.</t>
  </si>
  <si>
    <t>Cortador de Grama Elétrico</t>
  </si>
  <si>
    <t>Escada com 05 metros</t>
  </si>
  <si>
    <t>Podador de Galhos</t>
  </si>
  <si>
    <t>Tanquinho elétrico – 220 v para lavagem de panos de limpeza</t>
  </si>
  <si>
    <t>Dispenser para Papel higiênico compatível com o papel fornecido, uso nos banheiros.</t>
  </si>
  <si>
    <t>Dispenser para Papel toalha folha dupla, uso nos banheiros e copas. O dispenser deverá liberar um papel por vez, deixando o próximo pronto para uso.</t>
  </si>
  <si>
    <t>Dispenser para Sabonete líquido concentrado</t>
  </si>
  <si>
    <t>Saboneteira em ABS ALTO IMPACTO para Álcool Gel ou Sabonete Líquido em Sachê ou Refil 5-J7AI.</t>
  </si>
  <si>
    <t>Refil para saboneteira em ABS ALTO IMPACTO para Álcool Gel ou Sabonete Líquido em Sachê ou Refil 5-J7AI</t>
  </si>
  <si>
    <t>Kit Mop água para limpeza e lavagem de pisos frios em geral (Carro funcional América: Conjunto Doblo 50 litros;02 Cabos alumínio 1,40m; Haste Americana; Refil de algodão 320g; Armação Mop Profi; Refil Mop Pó Profi Pá POP; Placa sinalizadora.</t>
  </si>
  <si>
    <t>Kit Mop Pó: Rodo Largura: 13 cm; Altura: 75 cm; Cor: Branco / Azul; Material da Base: Microfibra; Função / Aplição: Limpar / Lustar; Altura do Cabo: 140 cm; Usa Refil: Sim; Altura: 75 cm; Largura: 13 cm; Comprimento: 107 cm; Peso: 626 g; Garantia: 3 meses;</t>
  </si>
  <si>
    <t>Facão - facão, material lâmina aço, material cabo polipropileno, comprimento 14 pol, tipo para mato.</t>
  </si>
  <si>
    <t>Lavadora de alta pressão - lavadora alta pressão, pressão 1450 lb, vazão 400 l/h, tensão 110/220v, potência consumida 1,5, peso 11,50 kg.</t>
  </si>
  <si>
    <t>Enceradeira - enceradeira, tipo industrial, potência motor 800 w, tipo motor monofásico, tensão alimentação 220 v, diâmetro escova 380 mm, características adicionais escova de pelo, suporte madeira e lixa.</t>
  </si>
  <si>
    <t>Chibanca - chibanca, material aço carbono, material encaixe cabo aço carbono, material cabo madeira, largura 10 cm, altura 50 cm, peso 2 Kg, aplicação construção civil.</t>
  </si>
  <si>
    <t>Aspirador de pó - aspirador pó/líquido, material plástico alta resistência, tipo uso profissional, voltagem bivolt, potência aspirador 1400 W, capacidade tanque 13 L, cor amarela.</t>
  </si>
  <si>
    <t>Soprador E Aspirador De Folhas 3000w Sf3000 Trapp, 220 volts, elétrica.</t>
  </si>
  <si>
    <t>Manutenção mensal</t>
  </si>
  <si>
    <t>Depreciação mensal</t>
  </si>
  <si>
    <t>Custo Total dos equipamentos (Manutenção + Depreciação)</t>
  </si>
  <si>
    <t>Custo Total dos e Equipamentos por ASG</t>
  </si>
  <si>
    <r>
      <rPr>
        <b/>
        <sz val="11"/>
        <color theme="1"/>
        <rFont val="Calibri"/>
        <charset val="134"/>
        <scheme val="minor"/>
      </rPr>
      <t>Manutenção de Equipamentos</t>
    </r>
    <r>
      <rPr>
        <sz val="11"/>
        <color theme="1"/>
        <rFont val="Calibri"/>
        <charset val="134"/>
        <scheme val="minor"/>
      </rPr>
      <t xml:space="preserve">: O valor do insumo Manutenção de Equipamentos foi obtido adotando-se a metodologia das Tabelas de Composições de Preços para Orçamentação, publicação da Editora Pini, para equipamentos de pequeno porte (aproximadamente 1,5HP), com utilização, em média, de 83h/mês, em conjunto com o Manual de Custos Rodoviários do DNIT, Volume 1, de 2003:
M= k x 83 x V0/VU, onde:
M = custo de manutenção mensal
K = 0,6 (conforme adotado pelo Sicro2 /DNIT – Manual de Custos Rodoviários – Volume 1, página 83);
VU = Vida Útil = 10.000 horas
V0 = Valor de aquisição do equipamento Assim:
Manutenção Mensal = Valor total dos equipamentos (ANEXO IV) x 0,5% a.m.;
</t>
    </r>
    <r>
      <rPr>
        <b/>
        <sz val="11"/>
        <color theme="1"/>
        <rFont val="Calibri"/>
        <charset val="134"/>
        <scheme val="minor"/>
      </rPr>
      <t>Depreciação de Equipamentos:</t>
    </r>
    <r>
      <rPr>
        <sz val="11"/>
        <color theme="1"/>
        <rFont val="Calibri"/>
        <charset val="134"/>
        <scheme val="minor"/>
      </rPr>
      <t xml:space="preserve"> Para o cálculo do insumo Depreciação de Equipamentos, adotou-se vida útil de 8 anos e valor residual de 20%, com base no Manual de Custos Rodoviários do DNIT, volume 1, de 2003.
Depreciação Mensal = [Valor total dos equipamentos x (1,00-0,20)]/(12x8);</t>
    </r>
  </si>
  <si>
    <t>Estimativa MENSAL de produtos de limpeza de uso NÃO EXCEPCIONAL</t>
  </si>
  <si>
    <t xml:space="preserve">  Valor Médio Unitário (R$) </t>
  </si>
  <si>
    <t>QuantidadeMensal</t>
  </si>
  <si>
    <t>Álcool - álcool etílico para limpeza de ambientes, tipo etílico hidratado, aplicação limpeza, características adicionais liquido/incolor/peso molecular 46,07 g/mol, concentração 90º gl.</t>
  </si>
  <si>
    <t>LITRO</t>
  </si>
  <si>
    <t>Cera líquida incolor - cera, tipo líquida, cor incolor leitoso, composição a base de água, carnaúba e resinas metalizadas, características adicionais antiderrapantes, impermeabilizante, aplicação limpeza de pisos.</t>
  </si>
  <si>
    <t>Cloro - cloro alvejante, aspecto físico líquido, apresentação bombona, aplicação remoção manchas, finalidade alvejante e desinfecção de roupas.</t>
  </si>
  <si>
    <t>Desinfetante - desinfetante, composição à base de quaternário de amônio, características adicionais com aroma, princípio ativo cloreto alquil dimetil benzil amônio +tensioativos, teor ativo teor ativo em torno de 0,4%, bombonas de 05 litros.</t>
  </si>
  <si>
    <t>Detergente - detergente, composição agente alcalino solvente e detergente sintético. Componente ativo linear alquibenzeno sulfonato de sódio, aplicação remoção gordura e sujeira em geral. Aroma neutro, características adicionais contém tensoativo biodegradável, em 100 bombonas de 05 litros.</t>
  </si>
  <si>
    <t>Escova limpeza geral - escova limpeza geral, material corpo plástico, material cerdas náilon, comprimento 12 cm, largura 5 a 8 cm.</t>
  </si>
  <si>
    <t>Espanador agave - espanador, material sisal, material cabo madeira, comprimento cabo 20 cm.</t>
  </si>
  <si>
    <t>Esponja nailon - esponja limpeza, material espuma / nylon, formato retangular, aplicação limpeza geral, características adicionais dupla face, comprimento mínimo 115 mm, largura mínima 77 mm, espessura mínima 21 mm</t>
  </si>
  <si>
    <t>Flanela - flanela, material flanela, comprimento 40 cm, largura 30 cm, cor amarela</t>
  </si>
  <si>
    <t>Luva (borracha) - luva borracha, material látex antiderrapante, tamanho médio, características adicionais sem forro, uso limpeza em geral.</t>
  </si>
  <si>
    <t>Pá para lixo - material coletor plástico, material cabo madeira, comprimento cabo 80 cm, comprimento 20 cm, largura 18 cm, aplicação limpeza, características adicionais cabo revestido em plástico.</t>
  </si>
  <si>
    <t>Pano de chão - pano limpeza, material 100% algodão, comprimento 70 cm, largura 50 cm, características adicionais chão, cor branca.</t>
  </si>
  <si>
    <t>Pasta limpeza - pasta limpeza, composição água, ácidos graxos, hidróxido de sódio, silicato, aplicação limpeza em geral, apresentação pasta.</t>
  </si>
  <si>
    <r>
      <rPr>
        <sz val="11"/>
        <color theme="1"/>
        <rFont val="Calibri"/>
        <charset val="134"/>
        <scheme val="minor"/>
      </rPr>
      <t>GEL ADESIVO - Desodorizador Sanitário Gel Adesivo 5em1 Marine 38g, características adicionais suporte plástico para vaso sanitário, TIPO MARCA PATO E ASSEMELHADOS.</t>
    </r>
    <r>
      <rPr>
        <b/>
        <sz val="11"/>
        <color theme="1"/>
        <rFont val="Calibri"/>
        <charset val="134"/>
      </rPr>
      <t> </t>
    </r>
  </si>
  <si>
    <t>Purificador de ar - desodorizador, essência lavanda/jasmim, apresentação aerosol, aplicação aromatizador ambiental, características adicionais não contenha CFC.</t>
  </si>
  <si>
    <t>Rodo - rodo, material cabo madeira, material suporte plástico, comprimento suporte 60 cm, quantidade borrachas 2</t>
  </si>
  <si>
    <t>Sabão em pó - sabão pó, aplicação limpeza geral, aditivos alvejante, características adicionais biodegradável TIPO MARCA BENTI-VI.</t>
  </si>
  <si>
    <t>Saco p/ lixo 60 l - saco plástico lixo, capacidade 60, cor preta, largura 68 cm, altura 60 cm, características adicionais resistente, espessura mínimo 4 micras, material polietileno</t>
  </si>
  <si>
    <t>FD 100 UN</t>
  </si>
  <si>
    <t>Saco p/ lixo 100 l - saco plástico lixo, capacidade 100, cor preta, largura 88 cm, altura 100 cm, características adicionais resistente, espessura mínimo 4 micras, material polietileno</t>
  </si>
  <si>
    <t xml:space="preserve">Saco p/ lixo 200 l - saco plástico lixo, capacidade 200, cor preta, largura 88 cm, altura 110 cm, características adicionais reforçado, material polietileno  </t>
  </si>
  <si>
    <t>Vassoura - vassoura, material cerdas nylon, material cepa madeira, comprimento cepa 40 cm, características adicionais cabo de aproximadamente 1,20 cm, largura cepa 5  cm – Tipo TOP10.</t>
  </si>
  <si>
    <t>Vassoura (piaçava) - vassoura, material cerdas piaçava, material cabo madeira, material cepa madeira, comprimento cepa 40 cm, tipo institucional, tipo cabo comprido, largura cepa 7,5 cm, altura cepa 05 cm, aplicação limpeza em geral.</t>
  </si>
  <si>
    <t>Vassoura (sanitário) - vassourinha, material cerda náilon, material cabo plástico, aplicação limpeza sanitário.</t>
  </si>
  <si>
    <t>Sabonete liquido, perolado, concentrado, em 03 (três) fragrâncias: lavanda, erva doce e pêssego.</t>
  </si>
  <si>
    <r>
      <rPr>
        <sz val="11"/>
        <color theme="1"/>
        <rFont val="Calibri"/>
        <charset val="134"/>
        <scheme val="minor"/>
      </rPr>
      <t xml:space="preserve">Álcool </t>
    </r>
    <r>
      <rPr>
        <b/>
        <sz val="11"/>
        <color theme="1"/>
        <rFont val="Calibri"/>
        <charset val="134"/>
      </rPr>
      <t>GEL</t>
    </r>
    <r>
      <rPr>
        <sz val="11"/>
        <color theme="1"/>
        <rFont val="Calibri"/>
        <charset val="134"/>
      </rPr>
      <t xml:space="preserve"> Perfumado E Hidratado, fraco com 5 Litros, TIPO Lembrancinha.</t>
    </r>
  </si>
  <si>
    <t>Silicone, tipo DryWash,  Gel, brilho seco e s/ gordura p/ plásticos/borrachas- 250ml cada.</t>
  </si>
  <si>
    <t>Custo Total dos Materiais por ASG</t>
  </si>
  <si>
    <t>Estimativa SEMESTRAL de utensílios de USO NÃO EXCEPCIONAL</t>
  </si>
  <si>
    <t>QuantidadeSemestral</t>
  </si>
  <si>
    <t>Valor Total Semestral (R$)</t>
  </si>
  <si>
    <t>Desentupidor de pia - desentupidor pia, material borracha flexível, material cabo plástico resistente, volume 10 cm3, tipo sanfonado</t>
  </si>
  <si>
    <t>Desentupidor de sanitário - desentupidor vaso sanitário, material borracha flexível, cor preta, altura 10 cm, diâmetro 16 cm, material cabo madeira, comprimento cabo 50 cm.</t>
  </si>
  <si>
    <t>Balde com capacidade para 20 litros</t>
  </si>
  <si>
    <t>Refil Mop pó</t>
  </si>
  <si>
    <t>Refil Mop água</t>
  </si>
  <si>
    <t>Balde com capacidade para 10 litros.</t>
  </si>
  <si>
    <t>Cera Preta.</t>
  </si>
  <si>
    <t>Mangueira Cristal 25mm, com 50 metros.</t>
  </si>
  <si>
    <t>Disco de lavar para enceradeira</t>
  </si>
  <si>
    <t>Disco de brilho para enceradeira</t>
  </si>
  <si>
    <t>Vassoura teto - vassoura, material cerdas sisal, material cabo madeira, tipo vasculho, aplicação limpeza teto, comprimento cabo 170 cm</t>
  </si>
  <si>
    <t>Luva (couro) - luva de couro, nome luva de couro.</t>
  </si>
  <si>
    <t>Inseticida aerossol spray 300ml ou mais – Tipo baygon ou similar</t>
  </si>
  <si>
    <t>Pneus para carrinho de mão e Carro plataforma 04 (quatro) rodas.</t>
  </si>
  <si>
    <t>Câmara de ar para carrinho de mão e Carro plataforma 04 (quatro) rodas.</t>
  </si>
  <si>
    <t>Custo Total por Mês</t>
  </si>
  <si>
    <t>Custo Total dos Materiais</t>
  </si>
  <si>
    <t>Ambientes do Imóvel</t>
  </si>
  <si>
    <t>Tipo de Área</t>
  </si>
  <si>
    <t>Metragem (m²)</t>
  </si>
  <si>
    <t>Biblioteca Térreo/Superior/anexo</t>
  </si>
  <si>
    <t>Pisos frios</t>
  </si>
  <si>
    <t>Anexo da Informática</t>
  </si>
  <si>
    <t>Mecânica e Automação (Oficinas: 1200 m² a 1800 m²)</t>
  </si>
  <si>
    <t>Oficinas</t>
  </si>
  <si>
    <t>Automação (Pisos frios: 800 m² a 1200  m²)</t>
  </si>
  <si>
    <t>Instrumento Musical</t>
  </si>
  <si>
    <t>Química</t>
  </si>
  <si>
    <t>Química (laboratórios)</t>
  </si>
  <si>
    <t>Laboratórios</t>
  </si>
  <si>
    <t>Design de Interiores</t>
  </si>
  <si>
    <t>Marcenaria/Serralharia</t>
  </si>
  <si>
    <t>Engenharia Elétrica Sala de Professores</t>
  </si>
  <si>
    <t xml:space="preserve">Engenharia Elétrica </t>
  </si>
  <si>
    <t>Informática</t>
  </si>
  <si>
    <t>Bloco Principal Administrativo DG/DDE</t>
  </si>
  <si>
    <t>Bloco Principal Auditórios (Aud. I, Aud.II e Anfiteatro)</t>
  </si>
  <si>
    <t>Bloco Principal Administrativo Grêmio/DCE/Coord. Letras</t>
  </si>
  <si>
    <t>Bloco Principal Administrativo UA4, Coord. PROFEPT, Audio Visual e Multimeios e Polo Ead</t>
  </si>
  <si>
    <t>Bloco Principal Salas de 01 a 12</t>
  </si>
  <si>
    <t>Bloco Secundário Laboratórios de Eletrotécnica</t>
  </si>
  <si>
    <t>Bloco Secundário Salas de 13 a 25, Coordenação de estágio, Sl. Professores, Núcleo</t>
  </si>
  <si>
    <t>Cantina Servidores (Cafezinho)</t>
  </si>
  <si>
    <t>Ginásio I (Almoxarifados/galpões: 1500 m² a 2500 m²)</t>
  </si>
  <si>
    <t>Almoxarifados/galpões</t>
  </si>
  <si>
    <t>Ginásio II (Almoxarifados/galpões: 1500 m² a 2500 m²)</t>
  </si>
  <si>
    <t xml:space="preserve">Guarita Principal </t>
  </si>
  <si>
    <t>Guarita Carmelo Ruffo</t>
  </si>
  <si>
    <t>Guarita Generino Maciel</t>
  </si>
  <si>
    <t>Bloco Terceirizados</t>
  </si>
  <si>
    <t>Bloco Terceirizados (almoxarifados)</t>
  </si>
  <si>
    <t>Bloco Administrativo DAF</t>
  </si>
  <si>
    <t>UA1 - Infraestrutura, Design e Ambiente</t>
  </si>
  <si>
    <t>UA1 - Infraestrutura, Design e Ambiente (laboratórios)</t>
  </si>
  <si>
    <t>UA1 - Infraestrutura, Design e Ambiente (galpão)</t>
  </si>
  <si>
    <t>Passarelas (Varrição de passeios e arruamentos: 6000 m² a 9000 m²)</t>
  </si>
  <si>
    <t>Varrição de passeios e arruamentos</t>
  </si>
  <si>
    <t>UA5 - Gestão e Negócios (Administrativo)</t>
  </si>
  <si>
    <t>UA5 - Gestão e Negócios (Salas de Aula)</t>
  </si>
  <si>
    <t>Refeitório (Salão)</t>
  </si>
  <si>
    <t>Áreas com espaços livres - saguão, hall e salão</t>
  </si>
  <si>
    <t>Banheiros</t>
  </si>
  <si>
    <t>Pisos pavimentados adjacentes/contíguos às edificações</t>
  </si>
  <si>
    <t>Pátios e áreas verdes com média frequência</t>
  </si>
  <si>
    <t>Tipos de Área e Produtividade</t>
  </si>
  <si>
    <t>Tipo</t>
  </si>
  <si>
    <t>Quantidade</t>
  </si>
  <si>
    <t>Frequência no mês/semestre</t>
  </si>
  <si>
    <t>Jornada de Trabalho no mês/Semestre</t>
  </si>
  <si>
    <t>Produtividade Mínima</t>
  </si>
  <si>
    <t>Produtividade Máxima</t>
  </si>
  <si>
    <t>Produtividade Média</t>
  </si>
  <si>
    <t>Produtividade Personalizada</t>
  </si>
  <si>
    <t>Ki</t>
  </si>
  <si>
    <t>Qtde. Serventes</t>
  </si>
  <si>
    <t>Ki ajustado</t>
  </si>
  <si>
    <t>Qte ajustada</t>
  </si>
  <si>
    <t>Produtividade ajustada</t>
  </si>
  <si>
    <t>Pisos acarpetados</t>
  </si>
  <si>
    <t>Área Interna</t>
  </si>
  <si>
    <t>Área Externa</t>
  </si>
  <si>
    <t>Pátios e áreas verdes com alta frequência</t>
  </si>
  <si>
    <t>Pátios e áreas verdes com baixa frequência</t>
  </si>
  <si>
    <t>Coleta de detritos em pátios e áreas verdes com frequência diária</t>
  </si>
  <si>
    <t>Face externa com exposição a situação de risco</t>
  </si>
  <si>
    <t>Esquadrias Externas</t>
  </si>
  <si>
    <t>Face externa sem exposição a situação de risco</t>
  </si>
  <si>
    <t>Face interna</t>
  </si>
  <si>
    <t>Fachadas Envidraçadas</t>
  </si>
  <si>
    <t>ÁREA INTERNA - PISOS FRIOS</t>
  </si>
  <si>
    <t>MÃO DE OBRA</t>
  </si>
  <si>
    <t>(1)</t>
  </si>
  <si>
    <t>(2)</t>
  </si>
  <si>
    <t>(1 x 2)</t>
  </si>
  <si>
    <t>TIPO DE ÁREA</t>
  </si>
  <si>
    <t>PREÇO MENSAL UNITÁRIO</t>
  </si>
  <si>
    <t>ÁREA</t>
  </si>
  <si>
    <t>SUBTOTAL</t>
  </si>
  <si>
    <t>PRODUTIVIDADE</t>
  </si>
  <si>
    <t>PREÇO HOMEM-MÊS</t>
  </si>
  <si>
    <t>(R$ / M²)</t>
  </si>
  <si>
    <t>(M²)</t>
  </si>
  <si>
    <t>(R$)</t>
  </si>
  <si>
    <t>(1/M²)</t>
  </si>
  <si>
    <t>ENCARREGADO</t>
  </si>
  <si>
    <t>1 / (15* x PA**)</t>
  </si>
  <si>
    <t>SERVENTE</t>
  </si>
  <si>
    <t>1 /PA**</t>
  </si>
  <si>
    <t>ÁREA INTERNA - LABORATÓRIOS</t>
  </si>
  <si>
    <t>CUSTO TOTAL DA CONTRATAÇÃO (MÊS)</t>
  </si>
  <si>
    <t>CUSTO TOTAL DA CONTRATAÇÃO (ANUAL)</t>
  </si>
  <si>
    <t>ÁREA INTERNA - ALMOXARIFADOS | GALPÕES</t>
  </si>
  <si>
    <t>ÁREA INTERNA - OFICINAS</t>
  </si>
  <si>
    <t>ÁREA INTERNA - ÁREAS COM ESPAÇOS LIVRES - SAGUÃO | HALL | SALÃO</t>
  </si>
  <si>
    <t>ÁREA INTERNA - BANHEIROS</t>
  </si>
  <si>
    <t>ÁREA EXTERNA - PISOS PAVIMENTADOS ADJACENTES | CONTÍGUOS ÀS EDIFICAÇÕES</t>
  </si>
  <si>
    <t>ÁREA EXTERNA - VARRIÇÃO DE PASSEIOS E ARRUAMENTOS</t>
  </si>
  <si>
    <t>ÁREA EXTERNA - PÁTIOS E ÁREAS VERDES COM MÉDIA FREQUÊNCIA</t>
  </si>
  <si>
    <t>ÁREA MÉDICO - HOSPITALARES E ASSEMELHADAS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</si>
</sst>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quot;R$&quot;\ * #,##0.00_-;\-&quot;R$&quot;\ * #,##0.00_-;_-&quot;R$&quot;\ * &quot;-&quot;??_-;_-@_-"/>
    <numFmt numFmtId="43" formatCode="_-* #,##0.00_-;\-* #,##0.00_-;_-* &quot;-&quot;??_-;_-@_-"/>
    <numFmt numFmtId="164" formatCode="0.0000"/>
    <numFmt numFmtId="165" formatCode="&quot;R$&quot;\ #,##0.00_);[Red]\(&quot;R$&quot;\ #,##0.00\)"/>
    <numFmt numFmtId="166" formatCode="&quot;R$&quot;\ #,##0.00"/>
    <numFmt numFmtId="167" formatCode="0.00_ "/>
    <numFmt numFmtId="168" formatCode="&quot;R$&quot;#,##0.00_);[Red]&quot;(R$&quot;#,##0.00\)"/>
    <numFmt numFmtId="169" formatCode="0.0000_ "/>
    <numFmt numFmtId="170" formatCode="&quot;R$&quot;#,##0.00"/>
  </numFmts>
  <fonts count="24">
    <font>
      <sz val="11"/>
      <color theme="1"/>
      <name val="Calibri"/>
      <charset val="134"/>
      <scheme val="minor"/>
    </font>
    <font>
      <b/>
      <sz val="12"/>
      <name val="Calibri"/>
    </font>
    <font>
      <b/>
      <sz val="11"/>
      <name val="Calibri"/>
    </font>
    <font>
      <sz val="11"/>
      <name val="Calibri"/>
    </font>
    <font>
      <sz val="11"/>
      <name val="Calibri"/>
      <charset val="134"/>
      <scheme val="minor"/>
    </font>
    <font>
      <b/>
      <sz val="11"/>
      <color indexed="8"/>
      <name val="Calibri"/>
    </font>
    <font>
      <sz val="10"/>
      <name val="Arial"/>
    </font>
    <font>
      <b/>
      <sz val="11"/>
      <color theme="1"/>
      <name val="Calibri"/>
      <charset val="134"/>
    </font>
    <font>
      <sz val="11"/>
      <color theme="1"/>
      <name val="Calibri"/>
      <charset val="134"/>
    </font>
    <font>
      <sz val="11"/>
      <color rgb="FF000000"/>
      <name val="Calibri"/>
      <charset val="134"/>
    </font>
    <font>
      <sz val="11"/>
      <color theme="0"/>
      <name val="Calibri"/>
      <charset val="134"/>
    </font>
    <font>
      <b/>
      <sz val="11"/>
      <color theme="0"/>
      <name val="Calibri"/>
      <charset val="134"/>
    </font>
    <font>
      <b/>
      <sz val="11"/>
      <color theme="0"/>
      <name val="Calibri"/>
      <charset val="134"/>
      <scheme val="minor"/>
    </font>
    <font>
      <b/>
      <sz val="11"/>
      <color theme="1"/>
      <name val="Calibri"/>
      <charset val="134"/>
      <scheme val="minor"/>
    </font>
    <font>
      <sz val="11"/>
      <color theme="1"/>
      <name val="Arial"/>
      <charset val="134"/>
    </font>
    <font>
      <b/>
      <i/>
      <sz val="11"/>
      <color theme="0"/>
      <name val="Calibri"/>
      <charset val="134"/>
      <scheme val="minor"/>
    </font>
    <font>
      <sz val="11"/>
      <color theme="0"/>
      <name val="Calibri"/>
      <charset val="134"/>
      <scheme val="minor"/>
    </font>
    <font>
      <sz val="10"/>
      <color theme="1"/>
      <name val="Calibri"/>
      <charset val="134"/>
      <scheme val="minor"/>
    </font>
    <font>
      <b/>
      <sz val="11"/>
      <color rgb="FFFFFFFF"/>
      <name val="Calibri"/>
      <charset val="134"/>
    </font>
    <font>
      <b/>
      <sz val="11"/>
      <color rgb="FF000000"/>
      <name val="Calibri"/>
      <charset val="134"/>
    </font>
    <font>
      <sz val="11"/>
      <color indexed="8"/>
      <name val="Calibri"/>
    </font>
    <font>
      <sz val="9"/>
      <name val="Tahoma"/>
      <charset val="134"/>
    </font>
    <font>
      <b/>
      <sz val="9"/>
      <name val="Tahoma"/>
      <charset val="134"/>
    </font>
    <font>
      <sz val="11"/>
      <color theme="1"/>
      <name val="Calibri"/>
      <charset val="134"/>
      <scheme val="minor"/>
    </font>
  </fonts>
  <fills count="18">
    <fill>
      <patternFill patternType="none"/>
    </fill>
    <fill>
      <patternFill patternType="gray125"/>
    </fill>
    <fill>
      <patternFill patternType="solid">
        <fgColor theme="9"/>
        <bgColor indexed="31"/>
      </patternFill>
    </fill>
    <fill>
      <patternFill patternType="solid">
        <fgColor theme="9"/>
        <bgColor indexed="26"/>
      </patternFill>
    </fill>
    <fill>
      <patternFill patternType="solid">
        <fgColor indexed="42"/>
        <bgColor indexed="27"/>
      </patternFill>
    </fill>
    <fill>
      <patternFill patternType="solid">
        <fgColor theme="5"/>
        <bgColor indexed="64"/>
      </patternFill>
    </fill>
    <fill>
      <patternFill patternType="solid">
        <fgColor theme="9"/>
        <bgColor theme="9"/>
      </patternFill>
    </fill>
    <fill>
      <patternFill patternType="solid">
        <fgColor theme="5" tint="0.39994506668294322"/>
        <bgColor indexed="64"/>
      </patternFill>
    </fill>
    <fill>
      <patternFill patternType="solid">
        <fgColor theme="9" tint="0.59999389629810485"/>
        <bgColor theme="9" tint="0.59999389629810485"/>
      </patternFill>
    </fill>
    <fill>
      <patternFill patternType="solid">
        <fgColor theme="9" tint="0.79992065187536243"/>
        <bgColor theme="9" tint="0.79992065187536243"/>
      </patternFill>
    </fill>
    <fill>
      <patternFill patternType="solid">
        <fgColor theme="9"/>
        <bgColor indexed="64"/>
      </patternFill>
    </fill>
    <fill>
      <patternFill patternType="solid">
        <fgColor theme="5" tint="0.39991454817346722"/>
        <bgColor indexed="64"/>
      </patternFill>
    </fill>
    <fill>
      <patternFill patternType="solid">
        <fgColor indexed="65"/>
        <bgColor indexed="64"/>
      </patternFill>
    </fill>
    <fill>
      <patternFill patternType="solid">
        <fgColor rgb="FF70AD47"/>
        <bgColor rgb="FF339966"/>
      </patternFill>
    </fill>
    <fill>
      <patternFill patternType="solid">
        <fgColor rgb="FFC5E0B4"/>
        <bgColor rgb="FFA9D18E"/>
      </patternFill>
    </fill>
    <fill>
      <patternFill patternType="solid">
        <fgColor rgb="FFF4B183"/>
        <bgColor rgb="FFFF99CC"/>
      </patternFill>
    </fill>
    <fill>
      <patternFill patternType="solid">
        <fgColor rgb="FFE2F0D9"/>
        <bgColor rgb="FFF2F2F2"/>
      </patternFill>
    </fill>
    <fill>
      <patternFill patternType="solid">
        <fgColor theme="5" tint="0.39997558519241921"/>
        <bgColor indexed="64"/>
      </patternFill>
    </fill>
  </fills>
  <borders count="27">
    <border>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style="thin">
        <color theme="0"/>
      </left>
      <right/>
      <top style="thin">
        <color theme="0"/>
      </top>
      <bottom style="thin">
        <color theme="0"/>
      </bottom>
      <diagonal/>
    </border>
    <border>
      <left/>
      <right style="thin">
        <color theme="0"/>
      </right>
      <top style="thick">
        <color theme="0"/>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theme="0"/>
      </right>
      <top style="thick">
        <color theme="0"/>
      </top>
      <bottom/>
      <diagonal/>
    </border>
    <border>
      <left style="thin">
        <color theme="0"/>
      </left>
      <right style="thin">
        <color auto="1"/>
      </right>
      <top style="thin">
        <color theme="0"/>
      </top>
      <bottom style="thin">
        <color theme="0"/>
      </bottom>
      <diagonal/>
    </border>
    <border>
      <left style="thin">
        <color auto="1"/>
      </left>
      <right style="thin">
        <color auto="1"/>
      </right>
      <top style="thin">
        <color theme="0"/>
      </top>
      <bottom style="thin">
        <color theme="0"/>
      </bottom>
      <diagonal/>
    </border>
    <border>
      <left style="thin">
        <color auto="1"/>
      </left>
      <right style="thin">
        <color theme="0"/>
      </right>
      <top style="thin">
        <color theme="0"/>
      </top>
      <bottom style="thin">
        <color theme="0"/>
      </bottom>
      <diagonal/>
    </border>
    <border>
      <left style="thin">
        <color theme="0"/>
      </left>
      <right/>
      <top/>
      <bottom/>
      <diagonal/>
    </border>
    <border>
      <left style="thin">
        <color auto="1"/>
      </left>
      <right style="thin">
        <color auto="1"/>
      </right>
      <top style="thin">
        <color auto="1"/>
      </top>
      <bottom/>
      <diagonal/>
    </border>
    <border>
      <left/>
      <right/>
      <top/>
      <bottom style="thin">
        <color theme="0"/>
      </bottom>
      <diagonal/>
    </border>
    <border>
      <left style="thin">
        <color rgb="FFFFFFFF"/>
      </left>
      <right style="thin">
        <color rgb="FFFFFFFF"/>
      </right>
      <top style="thick">
        <color rgb="FFFFFFFF"/>
      </top>
      <bottom style="thin">
        <color rgb="FFFFFFFF"/>
      </bottom>
      <diagonal/>
    </border>
    <border>
      <left style="thin">
        <color rgb="FFFFFFFF"/>
      </left>
      <right style="thin">
        <color rgb="FFFFFFFF"/>
      </right>
      <top style="thin">
        <color rgb="FFFFFFFF"/>
      </top>
      <bottom style="thick">
        <color rgb="FFFFFFFF"/>
      </bottom>
      <diagonal/>
    </border>
    <border>
      <left style="thin">
        <color rgb="FFFFFFFF"/>
      </left>
      <right/>
      <top/>
      <bottom style="thick">
        <color rgb="FFFFFFFF"/>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5">
    <xf numFmtId="0" fontId="0" fillId="0" borderId="0"/>
    <xf numFmtId="43" fontId="23" fillId="0" borderId="0" applyFont="0" applyFill="0" applyBorder="0" applyAlignment="0" applyProtection="0"/>
    <xf numFmtId="9" fontId="23" fillId="0" borderId="0" applyFont="0" applyFill="0" applyBorder="0" applyAlignment="0" applyProtection="0"/>
    <xf numFmtId="44" fontId="23" fillId="0" borderId="0" applyFont="0" applyFill="0" applyBorder="0" applyAlignment="0" applyProtection="0"/>
    <xf numFmtId="0" fontId="20" fillId="0" borderId="0"/>
  </cellStyleXfs>
  <cellXfs count="192">
    <xf numFmtId="0" fontId="0" fillId="0" borderId="0" xfId="0"/>
    <xf numFmtId="0" fontId="4" fillId="0" borderId="0" xfId="0" applyFont="1"/>
    <xf numFmtId="165" fontId="0" fillId="0" borderId="0" xfId="0" applyNumberFormat="1"/>
    <xf numFmtId="0" fontId="8" fillId="0" borderId="0" xfId="0" applyFont="1" applyAlignment="1">
      <alignment horizontal="center" vertical="center" wrapText="1"/>
    </xf>
    <xf numFmtId="0" fontId="9" fillId="0" borderId="0" xfId="0" applyFont="1" applyAlignment="1">
      <alignment vertical="center"/>
    </xf>
    <xf numFmtId="0" fontId="8" fillId="0" borderId="0" xfId="0" applyFont="1" applyAlignment="1">
      <alignment vertical="center" wrapText="1"/>
    </xf>
    <xf numFmtId="0" fontId="8" fillId="0" borderId="0" xfId="0" applyFont="1" applyAlignment="1">
      <alignment horizontal="center" vertical="center"/>
    </xf>
    <xf numFmtId="0" fontId="9" fillId="5" borderId="0" xfId="0" applyFont="1" applyFill="1" applyAlignment="1">
      <alignment vertical="center"/>
    </xf>
    <xf numFmtId="0" fontId="8" fillId="5" borderId="0" xfId="0" applyFont="1" applyFill="1" applyAlignment="1">
      <alignment vertical="center" wrapText="1"/>
    </xf>
    <xf numFmtId="0" fontId="8" fillId="5" borderId="0" xfId="0" applyFont="1" applyFill="1" applyAlignment="1">
      <alignment horizontal="center" vertical="center" wrapText="1"/>
    </xf>
    <xf numFmtId="0" fontId="8" fillId="5" borderId="0" xfId="0" applyFont="1" applyFill="1" applyAlignment="1">
      <alignment horizontal="center" vertical="center"/>
    </xf>
    <xf numFmtId="0" fontId="9"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10" fillId="0" borderId="0" xfId="0" applyFont="1"/>
    <xf numFmtId="0" fontId="8" fillId="0" borderId="0" xfId="0" applyFont="1" applyAlignment="1">
      <alignment wrapText="1"/>
    </xf>
    <xf numFmtId="0" fontId="11" fillId="6" borderId="6" xfId="0" applyFont="1" applyFill="1" applyBorder="1" applyAlignment="1">
      <alignment horizontal="center" vertical="center" wrapText="1"/>
    </xf>
    <xf numFmtId="0" fontId="8" fillId="7" borderId="0" xfId="0" applyFont="1" applyFill="1" applyAlignment="1">
      <alignment horizontal="center" vertical="center"/>
    </xf>
    <xf numFmtId="2" fontId="8" fillId="0" borderId="0" xfId="0" applyNumberFormat="1" applyFont="1" applyAlignment="1">
      <alignment horizontal="center" vertical="center"/>
    </xf>
    <xf numFmtId="0" fontId="8" fillId="0" borderId="0" xfId="0" applyFont="1" applyAlignment="1">
      <alignment vertical="center"/>
    </xf>
    <xf numFmtId="2" fontId="8" fillId="5" borderId="0" xfId="0" applyNumberFormat="1" applyFont="1" applyFill="1" applyAlignment="1">
      <alignment horizontal="center" vertical="center"/>
    </xf>
    <xf numFmtId="0" fontId="8" fillId="5" borderId="0" xfId="0" applyFont="1" applyFill="1" applyAlignment="1">
      <alignment vertical="center"/>
    </xf>
    <xf numFmtId="164" fontId="8" fillId="0" borderId="0" xfId="0" applyNumberFormat="1" applyFont="1" applyAlignment="1">
      <alignment horizontal="center" vertical="center"/>
    </xf>
    <xf numFmtId="0" fontId="0" fillId="0" borderId="0" xfId="0" applyAlignment="1">
      <alignment wrapText="1"/>
    </xf>
    <xf numFmtId="0" fontId="0" fillId="0" borderId="0" xfId="0" applyAlignment="1">
      <alignment horizontal="center"/>
    </xf>
    <xf numFmtId="0" fontId="0" fillId="8" borderId="7" xfId="0" applyFont="1" applyFill="1" applyBorder="1" applyAlignment="1">
      <alignment horizontal="center"/>
    </xf>
    <xf numFmtId="0" fontId="0" fillId="0" borderId="0" xfId="0" applyFont="1"/>
    <xf numFmtId="0" fontId="0" fillId="8" borderId="8" xfId="0" applyFont="1" applyFill="1" applyBorder="1"/>
    <xf numFmtId="2" fontId="0" fillId="8" borderId="9" xfId="0" applyNumberFormat="1" applyFont="1" applyFill="1" applyBorder="1" applyAlignment="1">
      <alignment horizontal="center"/>
    </xf>
    <xf numFmtId="0" fontId="0" fillId="9" borderId="7" xfId="0" applyFont="1" applyFill="1" applyBorder="1" applyAlignment="1">
      <alignment horizontal="center"/>
    </xf>
    <xf numFmtId="0" fontId="0" fillId="9" borderId="8" xfId="0" applyFont="1" applyFill="1" applyBorder="1"/>
    <xf numFmtId="2" fontId="0" fillId="9" borderId="10" xfId="0" applyNumberFormat="1" applyFont="1" applyFill="1" applyBorder="1" applyAlignment="1">
      <alignment horizontal="center"/>
    </xf>
    <xf numFmtId="2" fontId="0" fillId="8" borderId="9" xfId="0" applyNumberFormat="1" applyFont="1" applyFill="1" applyBorder="1" applyAlignment="1">
      <alignment horizontal="left"/>
    </xf>
    <xf numFmtId="166" fontId="0" fillId="0" borderId="0" xfId="0" applyNumberFormat="1" applyFont="1" applyAlignment="1">
      <alignment horizontal="left" vertical="center"/>
    </xf>
    <xf numFmtId="0" fontId="0" fillId="0" borderId="0" xfId="0" applyFont="1" applyAlignment="1">
      <alignment wrapText="1"/>
    </xf>
    <xf numFmtId="0" fontId="12" fillId="10" borderId="0" xfId="0" applyFont="1" applyFill="1" applyAlignment="1">
      <alignment horizontal="center" vertical="center"/>
    </xf>
    <xf numFmtId="0" fontId="12" fillId="10" borderId="0" xfId="0" applyFont="1" applyFill="1" applyAlignment="1">
      <alignment horizontal="center" vertical="center" wrapText="1"/>
    </xf>
    <xf numFmtId="167" fontId="12" fillId="10" borderId="0" xfId="0" applyNumberFormat="1" applyFont="1" applyFill="1" applyAlignment="1">
      <alignment horizontal="center" vertical="center"/>
    </xf>
    <xf numFmtId="0" fontId="0" fillId="0" borderId="0" xfId="0" applyAlignment="1">
      <alignment horizontal="center" vertical="center" wrapText="1"/>
    </xf>
    <xf numFmtId="0" fontId="0" fillId="0" borderId="0" xfId="0" applyNumberFormat="1" applyAlignment="1">
      <alignment horizontal="center" vertical="center"/>
    </xf>
    <xf numFmtId="0" fontId="0" fillId="0" borderId="0" xfId="0" applyAlignment="1">
      <alignment horizontal="justify" vertical="top" wrapText="1"/>
    </xf>
    <xf numFmtId="166" fontId="0" fillId="11" borderId="0" xfId="0" applyNumberFormat="1" applyFill="1" applyAlignment="1">
      <alignment horizontal="center" vertical="center"/>
    </xf>
    <xf numFmtId="166" fontId="0" fillId="0" borderId="0" xfId="0" applyNumberFormat="1" applyAlignment="1">
      <alignment horizontal="center" vertical="center"/>
    </xf>
    <xf numFmtId="0" fontId="14" fillId="0" borderId="0" xfId="0" applyFont="1" applyAlignment="1">
      <alignment horizontal="justify" vertical="top" wrapText="1"/>
    </xf>
    <xf numFmtId="0" fontId="12" fillId="6" borderId="11" xfId="0" applyFont="1" applyFill="1" applyBorder="1" applyAlignment="1">
      <alignment horizontal="center" vertical="center"/>
    </xf>
    <xf numFmtId="165" fontId="12" fillId="6" borderId="11" xfId="0" applyNumberFormat="1" applyFont="1" applyFill="1" applyBorder="1" applyAlignment="1">
      <alignment horizontal="center" vertical="center"/>
    </xf>
    <xf numFmtId="0" fontId="0" fillId="10" borderId="0" xfId="0" applyFill="1" applyAlignment="1">
      <alignment horizontal="center"/>
    </xf>
    <xf numFmtId="0" fontId="15" fillId="10" borderId="0" xfId="0" applyFont="1" applyFill="1" applyAlignment="1">
      <alignment horizontal="center" vertical="center"/>
    </xf>
    <xf numFmtId="0" fontId="16" fillId="10" borderId="0" xfId="0" applyFont="1" applyFill="1"/>
    <xf numFmtId="165" fontId="15" fillId="10" borderId="0" xfId="0" applyNumberFormat="1" applyFont="1" applyFill="1"/>
    <xf numFmtId="0" fontId="0" fillId="0" borderId="0" xfId="0" applyFill="1" applyAlignment="1">
      <alignment horizontal="center"/>
    </xf>
    <xf numFmtId="0" fontId="12" fillId="0" borderId="0" xfId="0" applyFont="1" applyFill="1" applyAlignment="1">
      <alignment horizontal="center" vertical="center"/>
    </xf>
    <xf numFmtId="0" fontId="16" fillId="0" borderId="0" xfId="0" applyFont="1" applyFill="1"/>
    <xf numFmtId="0" fontId="0" fillId="12" borderId="0" xfId="0" applyFill="1" applyProtection="1">
      <protection locked="0"/>
    </xf>
    <xf numFmtId="0" fontId="13" fillId="12" borderId="0" xfId="0" applyFont="1" applyFill="1" applyAlignment="1" applyProtection="1">
      <alignment horizontal="center" vertical="center"/>
      <protection locked="0"/>
    </xf>
    <xf numFmtId="166" fontId="0" fillId="0" borderId="0" xfId="0" applyNumberFormat="1" applyFont="1" applyAlignment="1">
      <alignment horizontal="center" vertical="center"/>
    </xf>
    <xf numFmtId="0" fontId="12" fillId="6" borderId="0" xfId="0" applyFont="1" applyFill="1" applyAlignment="1">
      <alignment horizontal="center" vertical="center"/>
    </xf>
    <xf numFmtId="165" fontId="12" fillId="6" borderId="0" xfId="0" applyNumberFormat="1" applyFont="1" applyFill="1" applyAlignment="1">
      <alignment horizontal="center" vertical="center"/>
    </xf>
    <xf numFmtId="0" fontId="0" fillId="10" borderId="0" xfId="0" applyNumberFormat="1" applyFill="1" applyAlignment="1">
      <alignment horizontal="center" vertical="center"/>
    </xf>
    <xf numFmtId="0" fontId="15" fillId="10" borderId="0" xfId="0" applyFont="1" applyFill="1" applyAlignment="1">
      <alignment horizontal="center" vertical="center" wrapText="1"/>
    </xf>
    <xf numFmtId="166" fontId="16" fillId="10" borderId="0" xfId="0" applyNumberFormat="1" applyFont="1" applyFill="1" applyAlignment="1">
      <alignment horizontal="center" vertical="center"/>
    </xf>
    <xf numFmtId="166" fontId="15" fillId="10" borderId="0" xfId="0" applyNumberFormat="1" applyFont="1" applyFill="1" applyAlignment="1">
      <alignment horizontal="center" vertical="center"/>
    </xf>
    <xf numFmtId="0" fontId="0" fillId="10" borderId="12" xfId="0" applyNumberFormat="1" applyFont="1" applyFill="1" applyBorder="1" applyAlignment="1">
      <alignment horizontal="center" vertical="center"/>
    </xf>
    <xf numFmtId="0" fontId="15" fillId="10" borderId="13" xfId="0" applyFont="1" applyFill="1" applyBorder="1" applyAlignment="1">
      <alignment horizontal="center" vertical="center" wrapText="1"/>
    </xf>
    <xf numFmtId="166" fontId="16" fillId="10" borderId="13" xfId="0" applyNumberFormat="1" applyFont="1" applyFill="1" applyBorder="1" applyAlignment="1">
      <alignment horizontal="center" vertical="center"/>
    </xf>
    <xf numFmtId="0" fontId="12" fillId="6" borderId="14" xfId="0" applyFont="1" applyFill="1" applyBorder="1" applyAlignment="1">
      <alignment horizontal="center" vertical="center"/>
    </xf>
    <xf numFmtId="166" fontId="15" fillId="10" borderId="9" xfId="0" applyNumberFormat="1"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justify" wrapText="1"/>
    </xf>
    <xf numFmtId="0" fontId="0" fillId="0" borderId="0" xfId="0" applyFont="1" applyAlignment="1">
      <alignment horizontal="center" vertical="center"/>
    </xf>
    <xf numFmtId="165" fontId="0" fillId="11" borderId="0" xfId="0" applyNumberFormat="1" applyFill="1" applyAlignment="1">
      <alignment horizontal="center" vertical="center"/>
    </xf>
    <xf numFmtId="165" fontId="0" fillId="0" borderId="0" xfId="0" applyNumberFormat="1" applyAlignment="1">
      <alignment horizontal="center" vertical="center"/>
    </xf>
    <xf numFmtId="0" fontId="0" fillId="0" borderId="0" xfId="0" applyAlignment="1">
      <alignment horizontal="left" wrapText="1"/>
    </xf>
    <xf numFmtId="0" fontId="8" fillId="0" borderId="0" xfId="0" applyFont="1" applyAlignment="1">
      <alignment horizontal="justify" wrapText="1"/>
    </xf>
    <xf numFmtId="0" fontId="0" fillId="0" borderId="0" xfId="0" applyAlignment="1">
      <alignment vertical="top" wrapText="1"/>
    </xf>
    <xf numFmtId="166" fontId="12" fillId="10" borderId="10" xfId="0" applyNumberFormat="1" applyFont="1" applyFill="1" applyBorder="1" applyAlignment="1">
      <alignment horizontal="center"/>
    </xf>
    <xf numFmtId="0" fontId="0" fillId="0" borderId="18" xfId="0" applyBorder="1"/>
    <xf numFmtId="166" fontId="12" fillId="10" borderId="8" xfId="0" applyNumberFormat="1" applyFont="1" applyFill="1" applyBorder="1" applyAlignment="1">
      <alignment horizontal="center"/>
    </xf>
    <xf numFmtId="0" fontId="0" fillId="0" borderId="0" xfId="0" applyFont="1" applyAlignment="1">
      <alignment horizontal="center" vertical="center" wrapText="1"/>
    </xf>
    <xf numFmtId="0" fontId="0" fillId="0" borderId="0" xfId="0" applyFont="1" applyAlignment="1">
      <alignment horizontal="justify" vertical="center" wrapText="1"/>
    </xf>
    <xf numFmtId="166" fontId="0" fillId="11" borderId="0" xfId="0" applyNumberFormat="1" applyFill="1" applyAlignment="1">
      <alignment horizontal="center" vertical="center" wrapText="1"/>
    </xf>
    <xf numFmtId="0" fontId="0" fillId="11" borderId="0" xfId="0" applyFill="1" applyAlignment="1">
      <alignment horizontal="center" vertical="center" wrapText="1"/>
    </xf>
    <xf numFmtId="166" fontId="0" fillId="0" borderId="0" xfId="0" applyNumberFormat="1" applyAlignment="1">
      <alignment horizontal="center" vertical="center" wrapText="1"/>
    </xf>
    <xf numFmtId="0" fontId="17" fillId="0" borderId="0" xfId="0" applyFont="1" applyAlignment="1">
      <alignment horizontal="justify" vertical="center" wrapText="1"/>
    </xf>
    <xf numFmtId="166" fontId="0" fillId="0" borderId="0" xfId="0" applyNumberFormat="1" applyAlignment="1">
      <alignment horizontal="center"/>
    </xf>
    <xf numFmtId="0" fontId="0" fillId="0" borderId="0" xfId="0" applyAlignment="1">
      <alignment horizontal="justify" vertical="center" wrapText="1"/>
    </xf>
    <xf numFmtId="166" fontId="0" fillId="7" borderId="0" xfId="0" applyNumberFormat="1" applyFill="1" applyAlignment="1">
      <alignment horizontal="center" vertical="center" wrapText="1"/>
    </xf>
    <xf numFmtId="0" fontId="0" fillId="7" borderId="0" xfId="0" applyFill="1" applyAlignment="1">
      <alignment horizontal="center" vertical="center" wrapText="1"/>
    </xf>
    <xf numFmtId="0" fontId="0" fillId="0" borderId="0" xfId="0" applyAlignment="1">
      <alignment horizontal="center" wrapText="1"/>
    </xf>
    <xf numFmtId="166" fontId="0" fillId="7" borderId="0" xfId="0" applyNumberFormat="1" applyFill="1" applyAlignment="1">
      <alignment horizontal="center" wrapText="1"/>
    </xf>
    <xf numFmtId="0" fontId="0" fillId="7" borderId="0" xfId="0" applyFill="1" applyAlignment="1">
      <alignment horizontal="center" wrapText="1"/>
    </xf>
    <xf numFmtId="166" fontId="0" fillId="0" borderId="0" xfId="0" applyNumberFormat="1" applyAlignment="1">
      <alignment horizontal="center" wrapText="1"/>
    </xf>
    <xf numFmtId="0" fontId="0" fillId="0" borderId="0" xfId="0" applyAlignment="1">
      <alignment horizontal="justify"/>
    </xf>
    <xf numFmtId="166" fontId="0" fillId="7" borderId="0" xfId="0" applyNumberFormat="1" applyFill="1" applyAlignment="1">
      <alignment horizontal="center"/>
    </xf>
    <xf numFmtId="0" fontId="0" fillId="7" borderId="0" xfId="0" applyFill="1" applyAlignment="1">
      <alignment horizontal="center"/>
    </xf>
    <xf numFmtId="0" fontId="0" fillId="0" borderId="0" xfId="0" applyAlignment="1">
      <alignment horizontal="justify" vertical="center"/>
    </xf>
    <xf numFmtId="166" fontId="0" fillId="7" borderId="0" xfId="0" applyNumberFormat="1" applyFill="1" applyAlignment="1">
      <alignment horizontal="center" vertical="center"/>
    </xf>
    <xf numFmtId="0" fontId="0" fillId="7" borderId="0" xfId="0" applyFill="1" applyAlignment="1">
      <alignment horizontal="center" vertical="center"/>
    </xf>
    <xf numFmtId="44" fontId="0" fillId="7" borderId="0" xfId="3" applyFont="1" applyFill="1" applyAlignment="1">
      <alignment horizontal="center" vertical="center"/>
    </xf>
    <xf numFmtId="165" fontId="0" fillId="7" borderId="0" xfId="0" applyNumberFormat="1" applyFill="1" applyAlignment="1">
      <alignment horizontal="center"/>
    </xf>
    <xf numFmtId="9" fontId="0" fillId="7" borderId="0" xfId="0" applyNumberFormat="1" applyFill="1" applyAlignment="1">
      <alignment horizontal="center" vertical="center"/>
    </xf>
    <xf numFmtId="0" fontId="0" fillId="0" borderId="0" xfId="0" applyFont="1" applyFill="1" applyAlignment="1"/>
    <xf numFmtId="10" fontId="0" fillId="0" borderId="0" xfId="0" applyNumberFormat="1" applyFont="1" applyFill="1" applyAlignment="1"/>
    <xf numFmtId="10" fontId="0" fillId="0" borderId="0" xfId="2" applyNumberFormat="1" applyFont="1" applyAlignment="1">
      <alignment horizontal="center" vertical="center"/>
    </xf>
    <xf numFmtId="166" fontId="0" fillId="0" borderId="0" xfId="0" applyNumberFormat="1"/>
    <xf numFmtId="0" fontId="19" fillId="14" borderId="21" xfId="0" applyFont="1" applyFill="1" applyBorder="1" applyAlignment="1">
      <alignment horizontal="center" vertical="center"/>
    </xf>
    <xf numFmtId="168" fontId="9" fillId="15" borderId="22" xfId="0" applyNumberFormat="1" applyFont="1" applyFill="1" applyBorder="1" applyAlignment="1">
      <alignment horizontal="center" vertical="center"/>
    </xf>
    <xf numFmtId="0" fontId="0" fillId="0" borderId="0" xfId="0" applyAlignment="1"/>
    <xf numFmtId="0" fontId="19" fillId="16" borderId="22" xfId="0" applyFont="1" applyFill="1" applyBorder="1" applyAlignment="1">
      <alignment horizontal="center" vertical="center"/>
    </xf>
    <xf numFmtId="168" fontId="19" fillId="15" borderId="22" xfId="0" applyNumberFormat="1" applyFont="1" applyFill="1" applyBorder="1" applyAlignment="1">
      <alignment horizontal="center" vertical="center"/>
    </xf>
    <xf numFmtId="0" fontId="0" fillId="0" borderId="0" xfId="0" applyAlignment="1">
      <alignment vertical="center" wrapText="1"/>
    </xf>
    <xf numFmtId="10" fontId="0" fillId="0" borderId="0" xfId="2" applyNumberFormat="1" applyFont="1" applyAlignment="1">
      <alignment horizontal="center"/>
    </xf>
    <xf numFmtId="10" fontId="0" fillId="17" borderId="0" xfId="2" applyNumberFormat="1" applyFont="1" applyFill="1" applyAlignment="1">
      <alignment horizontal="center"/>
    </xf>
    <xf numFmtId="166" fontId="0" fillId="17" borderId="0" xfId="0" applyNumberFormat="1" applyFill="1" applyAlignment="1">
      <alignment horizontal="center"/>
    </xf>
    <xf numFmtId="10" fontId="0" fillId="0" borderId="0" xfId="0" applyNumberFormat="1" applyAlignment="1">
      <alignment horizontal="center"/>
    </xf>
    <xf numFmtId="0" fontId="0" fillId="17" borderId="0" xfId="0" applyFill="1" applyAlignment="1">
      <alignment horizontal="center"/>
    </xf>
    <xf numFmtId="10" fontId="0" fillId="17" borderId="0" xfId="2" applyNumberFormat="1" applyFont="1" applyFill="1" applyAlignment="1">
      <alignment horizontal="center" vertical="center"/>
    </xf>
    <xf numFmtId="166" fontId="0" fillId="17" borderId="0" xfId="0" applyNumberFormat="1" applyFill="1" applyAlignment="1">
      <alignment horizontal="center" vertical="center"/>
    </xf>
    <xf numFmtId="10" fontId="0" fillId="0" borderId="0" xfId="2" applyNumberFormat="1" applyFont="1" applyAlignment="1">
      <alignment horizontal="center"/>
    </xf>
    <xf numFmtId="0" fontId="9" fillId="14" borderId="21" xfId="0" applyFont="1" applyFill="1" applyBorder="1" applyAlignment="1">
      <alignment horizontal="left" vertical="center"/>
    </xf>
    <xf numFmtId="10" fontId="9" fillId="15" borderId="0" xfId="2" applyNumberFormat="1" applyFont="1" applyFill="1" applyBorder="1" applyAlignment="1" applyProtection="1">
      <alignment horizontal="center" vertical="center"/>
    </xf>
    <xf numFmtId="0" fontId="9" fillId="16" borderId="22" xfId="0" applyFont="1" applyFill="1" applyBorder="1" applyAlignment="1">
      <alignment horizontal="left" vertical="center"/>
    </xf>
    <xf numFmtId="168" fontId="9" fillId="15" borderId="0" xfId="0" applyNumberFormat="1" applyFont="1" applyFill="1" applyAlignment="1">
      <alignment horizontal="center" vertical="center"/>
    </xf>
    <xf numFmtId="169" fontId="9" fillId="15" borderId="0" xfId="0" applyNumberFormat="1" applyFont="1" applyFill="1" applyAlignment="1">
      <alignment horizontal="center" vertical="center"/>
    </xf>
    <xf numFmtId="0" fontId="0" fillId="0" borderId="0" xfId="0" applyNumberFormat="1" applyAlignment="1">
      <alignment horizontal="center"/>
    </xf>
    <xf numFmtId="0" fontId="12" fillId="10" borderId="0" xfId="0" applyFont="1" applyFill="1"/>
    <xf numFmtId="166" fontId="16" fillId="10" borderId="0" xfId="0" applyNumberFormat="1" applyFont="1" applyFill="1" applyAlignment="1">
      <alignment horizontal="center"/>
    </xf>
    <xf numFmtId="44" fontId="0" fillId="7" borderId="0" xfId="3" applyFont="1" applyFill="1" applyAlignment="1">
      <alignment horizontal="center"/>
    </xf>
    <xf numFmtId="2" fontId="0" fillId="7" borderId="0" xfId="0" applyNumberFormat="1" applyFill="1" applyAlignment="1">
      <alignment horizontal="center"/>
    </xf>
    <xf numFmtId="9" fontId="0" fillId="7" borderId="0" xfId="0" applyNumberFormat="1" applyFill="1" applyAlignment="1">
      <alignment horizontal="center"/>
    </xf>
    <xf numFmtId="10" fontId="0" fillId="0" borderId="0" xfId="0" applyNumberFormat="1"/>
    <xf numFmtId="10" fontId="0" fillId="7" borderId="0" xfId="2" applyNumberFormat="1" applyFont="1" applyFill="1" applyAlignment="1"/>
    <xf numFmtId="10" fontId="0" fillId="0" borderId="0" xfId="2" applyNumberFormat="1" applyFont="1" applyAlignment="1"/>
    <xf numFmtId="170" fontId="0" fillId="0" borderId="0" xfId="0" applyNumberFormat="1" applyAlignment="1"/>
    <xf numFmtId="0" fontId="13" fillId="0" borderId="0" xfId="0" applyFont="1" applyBorder="1" applyAlignment="1">
      <alignment horizontal="center" vertical="center"/>
    </xf>
    <xf numFmtId="0" fontId="13" fillId="0" borderId="0" xfId="0" applyFont="1" applyBorder="1" applyAlignment="1">
      <alignment vertical="center"/>
    </xf>
    <xf numFmtId="0" fontId="0" fillId="0" borderId="0" xfId="0" applyAlignment="1">
      <alignment horizontal="left" vertical="center" wrapText="1"/>
    </xf>
    <xf numFmtId="0" fontId="0" fillId="0" borderId="0" xfId="0" applyAlignment="1">
      <alignment horizontal="left" vertical="center"/>
    </xf>
    <xf numFmtId="0" fontId="0" fillId="0" borderId="0" xfId="0" applyAlignment="1">
      <alignment vertical="center"/>
    </xf>
    <xf numFmtId="0" fontId="13" fillId="0" borderId="0" xfId="0" applyFont="1" applyBorder="1" applyAlignment="1">
      <alignment horizontal="center"/>
    </xf>
    <xf numFmtId="0" fontId="12" fillId="10" borderId="20" xfId="0" applyFont="1" applyFill="1" applyBorder="1" applyAlignment="1">
      <alignment horizontal="center"/>
    </xf>
    <xf numFmtId="0" fontId="13" fillId="0" borderId="0" xfId="0" applyFont="1" applyBorder="1" applyAlignment="1">
      <alignment horizontal="center" vertical="center"/>
    </xf>
    <xf numFmtId="0" fontId="12" fillId="10" borderId="0" xfId="0" applyFont="1" applyFill="1" applyAlignment="1">
      <alignment horizontal="center" wrapText="1"/>
    </xf>
    <xf numFmtId="0" fontId="12" fillId="10" borderId="0" xfId="0" applyFont="1" applyFill="1" applyAlignment="1">
      <alignment horizontal="center"/>
    </xf>
    <xf numFmtId="0" fontId="13" fillId="0" borderId="0" xfId="0" applyFont="1" applyAlignment="1">
      <alignment horizontal="center"/>
    </xf>
    <xf numFmtId="0" fontId="13" fillId="0" borderId="19" xfId="0" applyFont="1" applyBorder="1" applyAlignment="1">
      <alignment horizontal="center"/>
    </xf>
    <xf numFmtId="0" fontId="18" fillId="13" borderId="23" xfId="0" applyFont="1" applyFill="1" applyBorder="1" applyAlignment="1">
      <alignment horizontal="center" vertical="center"/>
    </xf>
    <xf numFmtId="0" fontId="18" fillId="13" borderId="0" xfId="0" applyFont="1" applyFill="1" applyBorder="1" applyAlignment="1">
      <alignment horizontal="center" vertical="center"/>
    </xf>
    <xf numFmtId="0" fontId="0" fillId="0" borderId="0" xfId="0" applyAlignment="1">
      <alignment horizontal="left" wrapText="1"/>
    </xf>
    <xf numFmtId="0" fontId="0" fillId="0" borderId="0" xfId="0" applyAlignment="1">
      <alignment horizontal="left"/>
    </xf>
    <xf numFmtId="0" fontId="12" fillId="10" borderId="15" xfId="0" applyFont="1" applyFill="1" applyBorder="1" applyAlignment="1">
      <alignment horizontal="center"/>
    </xf>
    <xf numFmtId="0" fontId="12" fillId="10" borderId="16" xfId="0" applyFont="1" applyFill="1" applyBorder="1" applyAlignment="1">
      <alignment horizontal="center"/>
    </xf>
    <xf numFmtId="0" fontId="12" fillId="10" borderId="17" xfId="0" applyFont="1" applyFill="1" applyBorder="1" applyAlignment="1">
      <alignment horizontal="center"/>
    </xf>
    <xf numFmtId="0" fontId="12" fillId="10" borderId="8" xfId="0" applyFont="1" applyFill="1" applyBorder="1" applyAlignment="1">
      <alignment horizontal="center"/>
    </xf>
    <xf numFmtId="0" fontId="0" fillId="0" borderId="0" xfId="0" applyAlignment="1">
      <alignment horizontal="center"/>
    </xf>
    <xf numFmtId="0" fontId="7" fillId="0" borderId="0" xfId="0" applyFont="1" applyAlignment="1">
      <alignment horizontal="center"/>
    </xf>
    <xf numFmtId="44" fontId="5" fillId="0" borderId="24" xfId="3" applyNumberFormat="1" applyFont="1" applyFill="1" applyBorder="1" applyAlignment="1" applyProtection="1">
      <alignment horizontal="center"/>
    </xf>
    <xf numFmtId="44" fontId="5" fillId="0" borderId="25" xfId="3" applyNumberFormat="1" applyFont="1" applyFill="1" applyBorder="1" applyAlignment="1" applyProtection="1">
      <alignment horizontal="center"/>
    </xf>
    <xf numFmtId="44" fontId="5" fillId="0" borderId="26" xfId="3" applyNumberFormat="1" applyFont="1" applyFill="1" applyBorder="1" applyAlignment="1" applyProtection="1">
      <alignment horizontal="center"/>
    </xf>
    <xf numFmtId="0" fontId="6" fillId="4" borderId="24" xfId="1" applyNumberFormat="1" applyFont="1" applyFill="1" applyBorder="1" applyAlignment="1" applyProtection="1">
      <alignment horizontal="center" vertical="center"/>
    </xf>
    <xf numFmtId="0" fontId="6" fillId="4" borderId="26" xfId="1" applyNumberFormat="1" applyFont="1" applyFill="1" applyBorder="1" applyAlignment="1" applyProtection="1">
      <alignment horizontal="center" vertical="center"/>
    </xf>
    <xf numFmtId="44" fontId="5" fillId="0" borderId="24" xfId="3" applyNumberFormat="1" applyFont="1" applyFill="1" applyBorder="1" applyAlignment="1" applyProtection="1">
      <alignment horizontal="center" vertical="center"/>
    </xf>
    <xf numFmtId="44" fontId="5" fillId="0" borderId="25" xfId="3" applyNumberFormat="1" applyFont="1" applyFill="1" applyBorder="1" applyAlignment="1" applyProtection="1">
      <alignment horizontal="center" vertical="center"/>
    </xf>
    <xf numFmtId="44" fontId="5" fillId="0" borderId="26" xfId="3" applyNumberFormat="1" applyFont="1" applyFill="1" applyBorder="1" applyAlignment="1" applyProtection="1">
      <alignment horizontal="center" vertical="center"/>
    </xf>
    <xf numFmtId="0" fontId="5" fillId="0" borderId="24" xfId="4" applyFont="1" applyBorder="1" applyAlignment="1">
      <alignment horizontal="left"/>
    </xf>
    <xf numFmtId="0" fontId="5" fillId="0" borderId="25" xfId="4" applyFont="1" applyBorder="1" applyAlignment="1">
      <alignment horizontal="left"/>
    </xf>
    <xf numFmtId="0" fontId="5" fillId="0" borderId="26" xfId="4" applyFont="1" applyBorder="1" applyAlignment="1">
      <alignment horizontal="left"/>
    </xf>
    <xf numFmtId="44" fontId="3" fillId="0" borderId="24" xfId="4" applyNumberFormat="1" applyFont="1" applyBorder="1" applyAlignment="1">
      <alignment horizontal="center"/>
    </xf>
    <xf numFmtId="44" fontId="3" fillId="0" borderId="26" xfId="4" applyNumberFormat="1" applyFont="1" applyBorder="1" applyAlignment="1">
      <alignment horizontal="center"/>
    </xf>
    <xf numFmtId="0" fontId="3" fillId="0" borderId="24" xfId="4" applyFont="1" applyBorder="1" applyAlignment="1">
      <alignment horizontal="center"/>
    </xf>
    <xf numFmtId="0" fontId="3" fillId="0" borderId="26" xfId="4" applyFont="1" applyBorder="1" applyAlignment="1">
      <alignment horizontal="center"/>
    </xf>
    <xf numFmtId="0" fontId="3" fillId="0" borderId="24" xfId="4" applyFont="1" applyBorder="1" applyAlignment="1">
      <alignment horizontal="left"/>
    </xf>
    <xf numFmtId="0" fontId="3" fillId="0" borderId="25" xfId="4" applyFont="1" applyBorder="1" applyAlignment="1">
      <alignment horizontal="left"/>
    </xf>
    <xf numFmtId="0" fontId="3" fillId="0" borderId="26" xfId="4" applyFont="1" applyBorder="1" applyAlignment="1">
      <alignment horizontal="left"/>
    </xf>
    <xf numFmtId="0" fontId="3" fillId="0" borderId="2" xfId="4" applyFont="1" applyBorder="1" applyAlignment="1">
      <alignment horizontal="left"/>
    </xf>
    <xf numFmtId="0" fontId="3" fillId="0" borderId="2" xfId="4" applyFont="1" applyBorder="1" applyAlignment="1">
      <alignment horizontal="center"/>
    </xf>
    <xf numFmtId="44" fontId="3" fillId="0" borderId="2" xfId="4" applyNumberFormat="1" applyFont="1" applyBorder="1" applyAlignment="1">
      <alignment horizontal="center"/>
    </xf>
    <xf numFmtId="0" fontId="2" fillId="3" borderId="2" xfId="4" applyFont="1" applyFill="1" applyBorder="1" applyAlignment="1">
      <alignment horizontal="center" vertical="center"/>
    </xf>
    <xf numFmtId="44" fontId="2" fillId="3" borderId="2" xfId="4" applyNumberFormat="1" applyFont="1" applyFill="1" applyBorder="1" applyAlignment="1">
      <alignment horizontal="center" vertical="center"/>
    </xf>
    <xf numFmtId="0" fontId="1" fillId="0" borderId="1" xfId="4" applyFont="1" applyBorder="1" applyAlignment="1">
      <alignment horizontal="center"/>
    </xf>
    <xf numFmtId="0" fontId="2" fillId="2" borderId="3" xfId="4" applyFont="1" applyFill="1" applyBorder="1" applyAlignment="1">
      <alignment horizontal="center" vertical="center"/>
    </xf>
    <xf numFmtId="0" fontId="2" fillId="2" borderId="4" xfId="4" applyFont="1" applyFill="1" applyBorder="1" applyAlignment="1">
      <alignment horizontal="center" vertical="center"/>
    </xf>
    <xf numFmtId="0" fontId="2" fillId="2" borderId="5" xfId="4" applyFont="1" applyFill="1" applyBorder="1" applyAlignment="1">
      <alignment horizontal="center" vertical="center"/>
    </xf>
    <xf numFmtId="0" fontId="2" fillId="2" borderId="2" xfId="4" applyFont="1" applyFill="1" applyBorder="1" applyAlignment="1">
      <alignment horizontal="center" vertical="center"/>
    </xf>
    <xf numFmtId="0" fontId="4" fillId="0" borderId="0" xfId="0" applyFont="1" applyAlignment="1">
      <alignment horizontal="center"/>
    </xf>
    <xf numFmtId="0" fontId="2" fillId="0" borderId="1" xfId="4" applyFont="1" applyFill="1" applyBorder="1" applyAlignment="1">
      <alignment horizontal="center" vertical="center"/>
    </xf>
    <xf numFmtId="165" fontId="2" fillId="2" borderId="3" xfId="4" applyNumberFormat="1" applyFont="1" applyFill="1" applyBorder="1" applyAlignment="1">
      <alignment horizontal="center" vertical="center"/>
    </xf>
    <xf numFmtId="0" fontId="5" fillId="0" borderId="2" xfId="4" applyFont="1" applyBorder="1" applyAlignment="1">
      <alignment horizontal="left"/>
    </xf>
    <xf numFmtId="44" fontId="5" fillId="0" borderId="2" xfId="3" applyNumberFormat="1" applyFont="1" applyFill="1" applyBorder="1" applyAlignment="1" applyProtection="1">
      <alignment horizontal="center" vertical="center"/>
    </xf>
    <xf numFmtId="0" fontId="6" fillId="4" borderId="2" xfId="1" applyNumberFormat="1" applyFont="1" applyFill="1" applyBorder="1" applyAlignment="1" applyProtection="1">
      <alignment horizontal="center" vertical="center"/>
    </xf>
    <xf numFmtId="44" fontId="5" fillId="0" borderId="2" xfId="3" applyNumberFormat="1" applyFont="1" applyFill="1" applyBorder="1" applyAlignment="1" applyProtection="1">
      <alignment horizontal="center"/>
    </xf>
    <xf numFmtId="0" fontId="2" fillId="2" borderId="5" xfId="4" applyFont="1" applyFill="1" applyBorder="1" applyAlignment="1">
      <alignment horizontal="center" vertical="center" wrapText="1"/>
    </xf>
  </cellXfs>
  <cellStyles count="5">
    <cellStyle name="Excel Built-in Normal" xfId="4"/>
    <cellStyle name="Moeda" xfId="3" builtinId="4"/>
    <cellStyle name="Normal" xfId="0" builtinId="0"/>
    <cellStyle name="Porcentagem" xfId="2" builtinId="5"/>
    <cellStyle name="Vírgula" xfId="1" builtinId="3"/>
  </cellStyles>
  <dxfs count="416">
    <dxf>
      <numFmt numFmtId="166" formatCode="&quot;R$&quot;\ #,##0.00"/>
      <alignment horizontal="center" vertical="bottom" textRotation="0" wrapText="0" indent="0" justifyLastLine="0" shrinkToFit="0" readingOrder="0"/>
    </dxf>
    <dxf>
      <alignment horizontal="center" vertical="bottom" textRotation="0" wrapText="0" indent="0" justifyLastLine="0" shrinkToFit="0" readingOrder="0"/>
    </dxf>
    <dxf>
      <numFmt numFmtId="166" formatCode="&quot;R$&quot;\ #,##0.00"/>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center" vertical="bottom" textRotation="0" wrapText="0" indent="0" justifyLastLine="0" shrinkToFit="0" readingOrder="0"/>
    </dxf>
    <dxf>
      <alignment horizontal="center" vertical="bottom" textRotation="0" wrapText="0" indent="0" justifyLastLine="0" shrinkToFit="0" readingOrder="0"/>
    </dxf>
    <dxf>
      <numFmt numFmtId="166" formatCode="&quot;R$&quot;\ #,##0.00"/>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alignment horizontal="center" vertical="bottom" textRotation="0" wrapText="0" indent="0" justifyLastLine="0" shrinkToFit="0" readingOrder="0"/>
    </dxf>
    <dxf>
      <numFmt numFmtId="166" formatCode="&quot;R$&quot;\ #,##0.00"/>
      <alignment horizontal="center" vertical="bottom" textRotation="0" wrapText="0" indent="0" justifyLastLine="0" shrinkToFit="0" readingOrder="0"/>
    </dxf>
    <dxf>
      <alignment horizontal="center" vertical="bottom" textRotation="0" wrapText="0" indent="0" justifyLastLine="0" shrinkToFit="0" readingOrder="0"/>
    </dxf>
    <dxf>
      <numFmt numFmtId="166" formatCode="&quot;R$&quot;\ #,##0.00"/>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center" vertical="bottom" textRotation="0" wrapText="0" indent="0" justifyLastLine="0" shrinkToFit="0" readingOrder="0"/>
    </dxf>
    <dxf>
      <alignment horizontal="center" vertical="bottom" textRotation="0" wrapText="0" indent="0" justifyLastLine="0" shrinkToFit="0" readingOrder="0"/>
    </dxf>
    <dxf>
      <numFmt numFmtId="166" formatCode="&quot;R$&quot;\ #,##0.00"/>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alignment horizontal="center" vertical="bottom" textRotation="0" wrapText="0" indent="0" justifyLastLine="0" shrinkToFit="0" readingOrder="0"/>
    </dxf>
    <dxf>
      <numFmt numFmtId="166" formatCode="&quot;R$&quot;\ #,##0.00"/>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center" vertical="bottom" textRotation="0" wrapText="0" indent="0" justifyLastLine="0" shrinkToFit="0" readingOrder="0"/>
    </dxf>
    <dxf>
      <alignment horizontal="center" vertical="bottom" textRotation="0" wrapText="0" indent="0" justifyLastLine="0" shrinkToFit="0" readingOrder="0"/>
    </dxf>
    <dxf>
      <numFmt numFmtId="166" formatCode="&quot;R$&quot;\ #,##0.00"/>
      <alignment horizontal="center" vertical="bottom" textRotation="0" wrapText="0" indent="0" justifyLastLine="0" shrinkToFit="0" readingOrder="0"/>
    </dxf>
    <dxf>
      <alignment horizontal="center" vertical="bottom" textRotation="0" wrapText="0" indent="0" justifyLastLine="0" shrinkToFit="0" readingOrder="0"/>
    </dxf>
    <dxf>
      <numFmt numFmtId="166" formatCode="&quot;R$&quot;\ #,##0.00"/>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alignment horizontal="center" vertical="bottom" textRotation="0" wrapText="0" indent="0" justifyLastLine="0" shrinkToFit="0" readingOrder="0"/>
    </dxf>
    <dxf>
      <numFmt numFmtId="166" formatCode="&quot;R$&quot;\ #,##0.00"/>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1"/>
        <color theme="1"/>
        <name val="Calibri"/>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none"/>
      </font>
      <numFmt numFmtId="2" formatCode="0.00"/>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none"/>
      </font>
      <numFmt numFmtId="164" formatCode="0.0000"/>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none"/>
      </font>
      <numFmt numFmtId="164" formatCode="0.0000"/>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none"/>
      </font>
      <alignment horizontal="general" vertical="bottom" textRotation="0" wrapText="1" indent="0" justifyLastLine="0" shrinkToFit="0" readingOrder="0"/>
    </dxf>
    <dxf>
      <font>
        <b val="0"/>
        <i val="0"/>
        <strike val="0"/>
        <condense val="0"/>
        <extend val="0"/>
        <outline val="0"/>
        <shadow val="0"/>
        <u val="none"/>
        <vertAlign val="baseline"/>
        <sz val="11"/>
        <color theme="0"/>
        <name val="Calibri"/>
        <scheme val="none"/>
      </font>
    </dxf>
    <dxf>
      <numFmt numFmtId="166" formatCode="&quot;R$&quot;\ #,##0.00"/>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general" vertical="bottom" textRotation="0" wrapText="1" indent="0" justifyLastLine="0" shrinkToFit="0" readingOrder="0"/>
    </dxf>
    <dxf>
      <alignment horizontal="center" vertical="bottom" textRotation="0" wrapText="0" indent="0" justifyLastLine="0" shrinkToFit="0" readingOrder="0"/>
    </dxf>
    <dxf>
      <numFmt numFmtId="166" formatCode="&quot;R$&quot;\ #,##0.00"/>
      <alignment horizontal="center" vertical="bottom" textRotation="0" wrapText="0" indent="0" justifyLastLine="0" shrinkToFit="0" readingOrder="0"/>
    </dxf>
    <dxf>
      <alignment horizontal="center" vertical="bottom" textRotation="0" wrapText="0" indent="0" justifyLastLine="0" shrinkToFit="0" readingOrder="0"/>
    </dxf>
    <dxf>
      <numFmt numFmtId="166" formatCode="&quot;R$&quot;\ #,##0.00"/>
      <alignment horizontal="center" vertical="bottom" textRotation="0" wrapText="0" indent="0" justifyLastLine="0" shrinkToFit="0" readingOrder="0"/>
    </dxf>
    <dxf>
      <alignment horizontal="center" vertical="bottom" textRotation="0" wrapText="0" indent="0" justifyLastLine="0" shrinkToFit="0" readingOrder="0"/>
    </dxf>
    <dxf>
      <numFmt numFmtId="166" formatCode="&quot;R$&quot;\ #,##0.00"/>
      <alignment horizontal="center" vertical="bottom" textRotation="0" wrapText="0" indent="0" justifyLastLine="0" shrinkToFit="0" readingOrder="0"/>
    </dxf>
    <dxf>
      <alignment horizontal="center" vertical="bottom" textRotation="0" wrapText="0" indent="0" justifyLastLine="0" shrinkToFit="0" readingOrder="0"/>
    </dxf>
    <dxf>
      <numFmt numFmtId="166" formatCode="&quot;R$&quot;\ #,##0.00"/>
      <alignment horizontal="center" vertical="bottom" textRotation="0" wrapText="0" indent="0" justifyLastLine="0" shrinkToFit="0" readingOrder="0"/>
    </dxf>
    <dxf>
      <alignment horizontal="center" vertical="bottom" textRotation="0" wrapText="0" indent="0" justifyLastLine="0" shrinkToFit="0" readingOrder="0"/>
    </dxf>
    <dxf>
      <numFmt numFmtId="166" formatCode="&quot;R$&quot;\ #,##0.00"/>
      <alignment horizontal="center" vertical="bottom" textRotation="0" wrapText="0" indent="0" justifyLastLine="0" shrinkToFit="0" readingOrder="0"/>
    </dxf>
    <dxf>
      <alignment horizontal="center" vertical="bottom" textRotation="0" wrapText="0" indent="0" justifyLastLine="0" shrinkToFit="0" readingOrder="0"/>
    </dxf>
    <dxf>
      <numFmt numFmtId="166" formatCode="&quot;R$&quot;\ #,##0.00"/>
      <alignment horizontal="center" vertical="bottom" textRotation="0" wrapText="0" indent="0" justifyLastLine="0" shrinkToFit="0" readingOrder="0"/>
    </dxf>
    <dxf>
      <alignment horizontal="center" vertical="bottom" textRotation="0" wrapText="0" indent="0" justifyLastLine="0" shrinkToFit="0" readingOrder="0"/>
    </dxf>
    <dxf>
      <numFmt numFmtId="166" formatCode="&quot;R$&quot;\ #,##0.00"/>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font>
        <sz val="11"/>
        <name val="Calibri"/>
        <scheme val="none"/>
      </font>
      <numFmt numFmtId="2" formatCode="0.00"/>
      <alignment horizontal="center" vertical="center"/>
    </dxf>
    <dxf>
      <numFmt numFmtId="166" formatCode="&quot;R$&quot;\ #,##0.00"/>
      <alignment horizontal="center" vertical="center"/>
    </dxf>
    <dxf>
      <font>
        <sz val="11"/>
        <name val="Calibri"/>
        <scheme val="none"/>
      </font>
      <numFmt numFmtId="2" formatCode="0.00"/>
      <alignment horizontal="center" vertical="center"/>
    </dxf>
    <dxf>
      <font>
        <sz val="11"/>
        <name val="Calibri"/>
        <scheme val="none"/>
      </font>
      <alignment horizontal="center" vertical="center"/>
    </dxf>
    <dxf>
      <font>
        <sz val="11"/>
        <name val="Calibri"/>
        <scheme val="none"/>
      </font>
      <fill>
        <patternFill patternType="solid">
          <bgColor theme="5" tint="0.39994506668294322"/>
        </patternFill>
      </fill>
      <alignment horizontal="center" vertical="center"/>
    </dxf>
    <dxf>
      <font>
        <sz val="11"/>
        <name val="Calibri"/>
        <scheme val="none"/>
      </font>
      <alignment horizontal="center" vertical="center"/>
    </dxf>
    <dxf>
      <font>
        <sz val="11"/>
        <name val="Calibri"/>
        <scheme val="none"/>
      </font>
      <alignment horizontal="center" vertical="center"/>
    </dxf>
    <dxf>
      <font>
        <sz val="11"/>
        <name val="Calibri"/>
        <scheme val="none"/>
      </font>
      <alignment horizontal="center" vertical="center"/>
    </dxf>
    <dxf>
      <font>
        <sz val="11"/>
        <name val="Calibri"/>
        <scheme val="none"/>
      </font>
      <alignment horizontal="center" vertical="center"/>
    </dxf>
    <dxf>
      <font>
        <sz val="11"/>
        <name val="Calibri"/>
        <scheme val="none"/>
      </font>
      <alignment horizontal="center" vertical="center"/>
    </dxf>
    <dxf>
      <font>
        <sz val="11"/>
        <name val="Calibri"/>
        <scheme val="none"/>
      </font>
      <alignment horizontal="center" vertical="center" wrapText="1"/>
    </dxf>
    <dxf>
      <font>
        <sz val="11"/>
        <name val="Calibri"/>
        <scheme val="none"/>
      </font>
      <alignment vertical="center" wrapText="1"/>
    </dxf>
    <dxf>
      <font>
        <b val="0"/>
        <i val="0"/>
        <strike val="0"/>
        <u val="none"/>
        <sz val="11"/>
        <color rgb="FF000000"/>
        <name val="Calibri"/>
        <scheme val="none"/>
      </font>
      <alignment vertical="center"/>
    </dxf>
    <dxf>
      <font>
        <b val="0"/>
        <i val="0"/>
        <strike val="0"/>
        <u val="none"/>
        <sz val="11"/>
        <color theme="1"/>
        <name val="Calibri"/>
        <scheme val="none"/>
      </font>
    </dxf>
    <dxf>
      <numFmt numFmtId="166" formatCode="&quot;R$&quot;\ #,##0.00"/>
      <alignment horizontal="center" vertical="center"/>
    </dxf>
    <dxf>
      <alignment wrapText="1"/>
    </dxf>
    <dxf>
      <numFmt numFmtId="166" formatCode="&quot;R$&quot;\ #,##0.00"/>
      <alignment horizontal="center" vertical="center"/>
    </dxf>
    <dxf>
      <numFmt numFmtId="166" formatCode="&quot;R$&quot;\ #,##0.00"/>
      <alignment horizontal="center" vertical="center"/>
    </dxf>
    <dxf>
      <numFmt numFmtId="1" formatCode="0"/>
      <fill>
        <patternFill patternType="solid">
          <bgColor theme="5" tint="0.39994506668294322"/>
        </patternFill>
      </fill>
      <alignment horizontal="center" vertical="center"/>
    </dxf>
    <dxf>
      <numFmt numFmtId="166" formatCode="&quot;R$&quot;\ #,##0.00"/>
      <fill>
        <patternFill patternType="solid">
          <bgColor theme="5" tint="0.39994506668294322"/>
        </patternFill>
      </fill>
      <alignment horizontal="center" vertical="center"/>
    </dxf>
    <dxf>
      <numFmt numFmtId="166" formatCode="&quot;R$&quot;\ #,##0.00"/>
      <alignment horizontal="center" vertical="center"/>
    </dxf>
    <dxf>
      <alignment horizontal="justify" vertical="center" wrapText="1"/>
    </dxf>
    <dxf>
      <alignment horizontal="center" vertical="center"/>
    </dxf>
    <dxf>
      <fill>
        <patternFill patternType="solid">
          <bgColor theme="5" tint="0.39994506668294322"/>
        </patternFill>
      </fill>
      <alignment horizontal="center" vertical="center"/>
    </dxf>
    <dxf>
      <numFmt numFmtId="165" formatCode="&quot;R$&quot;\ #,##0.00_);[Red]\(&quot;R$&quot;\ #,##0.00\)"/>
      <fill>
        <patternFill patternType="solid">
          <bgColor theme="5" tint="0.39994506668294322"/>
        </patternFill>
      </fill>
      <alignment horizontal="center" vertical="center"/>
    </dxf>
    <dxf>
      <alignment horizontal="center" vertical="center"/>
    </dxf>
    <dxf>
      <alignment horizontal="justify" wrapText="1"/>
    </dxf>
    <dxf>
      <alignment horizontal="center" vertical="center"/>
    </dxf>
    <dxf>
      <alignment horizontal="center" vertical="center"/>
    </dxf>
    <dxf>
      <alignment horizontal="center" vertical="center"/>
    </dxf>
    <dxf>
      <alignment horizontal="center" vertical="center"/>
    </dxf>
    <dxf>
      <alignment horizontal="center" vertical="center"/>
    </dxf>
    <dxf>
      <alignment horizontal="justify" vertical="center"/>
    </dxf>
    <dxf>
      <alignment horizontal="center" vertical="center"/>
    </dxf>
    <dxf>
      <alignment horizontal="center" vertical="center"/>
    </dxf>
    <dxf>
      <numFmt numFmtId="166" formatCode="&quot;R$&quot;\ #,##0.00"/>
      <alignment horizontal="center"/>
    </dxf>
    <dxf>
      <fill>
        <patternFill patternType="solid">
          <bgColor theme="5" tint="0.39994506668294322"/>
        </patternFill>
      </fill>
      <alignment horizontal="center"/>
    </dxf>
    <dxf>
      <numFmt numFmtId="166" formatCode="&quot;R$&quot;\ #,##0.00"/>
      <fill>
        <patternFill patternType="solid">
          <bgColor theme="5" tint="0.39994506668294322"/>
        </patternFill>
      </fill>
      <alignment horizontal="center"/>
    </dxf>
    <dxf>
      <alignment horizontal="center" vertical="center"/>
    </dxf>
    <dxf>
      <alignment horizontal="justify"/>
    </dxf>
    <dxf>
      <numFmt numFmtId="166" formatCode="&quot;R$&quot;\ #,##0.00"/>
      <alignment horizontal="center" vertical="center"/>
    </dxf>
    <dxf>
      <numFmt numFmtId="166" formatCode="&quot;R$&quot;\ #,##0.00"/>
      <alignment horizontal="center" vertical="center"/>
    </dxf>
    <dxf>
      <numFmt numFmtId="166" formatCode="&quot;R$&quot;\ #,##0.00"/>
      <alignment horizontal="center" wrapText="1"/>
    </dxf>
    <dxf>
      <numFmt numFmtId="166" formatCode="&quot;R$&quot;\ #,##0.00"/>
      <alignment horizontal="center" wrapText="1"/>
    </dxf>
    <dxf>
      <fill>
        <patternFill patternType="solid">
          <bgColor theme="5" tint="0.39994506668294322"/>
        </patternFill>
      </fill>
      <alignment horizontal="center" wrapText="1"/>
    </dxf>
    <dxf>
      <numFmt numFmtId="166" formatCode="&quot;R$&quot;\ #,##0.00"/>
      <fill>
        <patternFill patternType="solid">
          <bgColor theme="5" tint="0.39994506668294322"/>
        </patternFill>
      </fill>
      <alignment horizontal="center" wrapText="1"/>
    </dxf>
    <dxf>
      <alignment wrapText="1"/>
    </dxf>
    <dxf>
      <alignment wrapText="1"/>
    </dxf>
    <dxf>
      <alignment horizontal="center" wrapText="1"/>
    </dxf>
    <dxf>
      <numFmt numFmtId="166" formatCode="&quot;R$&quot;\ #,##0.00"/>
      <alignment horizontal="center" vertical="center" wrapText="1"/>
    </dxf>
    <dxf>
      <fill>
        <patternFill patternType="solid">
          <bgColor theme="5" tint="0.39994506668294322"/>
        </patternFill>
      </fill>
      <alignment horizontal="center" vertical="center" wrapText="1"/>
    </dxf>
    <dxf>
      <numFmt numFmtId="166" formatCode="&quot;R$&quot;\ #,##0.00"/>
      <fill>
        <patternFill patternType="solid">
          <bgColor theme="5" tint="0.39994506668294322"/>
        </patternFill>
      </fill>
      <alignment horizontal="center" vertical="center" wrapText="1"/>
    </dxf>
    <dxf>
      <alignment horizontal="center" vertical="center"/>
    </dxf>
    <dxf>
      <alignment horizontal="justify" vertical="center" wrapText="1"/>
    </dxf>
    <dxf>
      <alignment horizontal="center" vertical="center" wrapText="1"/>
    </dxf>
    <dxf>
      <alignment horizontal="center" vertical="center" wrapText="1"/>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numFmt numFmtId="170" formatCode="&quot;R$&quot;#,##0.00"/>
    </dxf>
    <dxf>
      <alignment horizontal="center" vertical="center"/>
    </dxf>
    <dxf>
      <alignment horizontal="center" vertical="center" wrapText="1"/>
    </dxf>
    <dxf>
      <alignment horizontal="left" vertical="center"/>
    </dxf>
    <dxf>
      <alignment horizontal="center" vertical="center"/>
    </dxf>
    <dxf>
      <alignment horizontal="center" vertical="center"/>
    </dxf>
    <dxf>
      <alignment horizontal="center" vertical="center" wrapText="1"/>
    </dxf>
    <dxf>
      <alignment horizontal="left" vertical="center"/>
    </dxf>
    <dxf>
      <alignment horizontal="center" vertical="center"/>
    </dxf>
    <dxf>
      <alignment horizontal="center" vertical="center"/>
    </dxf>
    <dxf>
      <alignment horizontal="center" vertical="center" wrapText="1"/>
    </dxf>
    <dxf>
      <alignment horizontal="left" vertical="center"/>
    </dxf>
    <dxf>
      <alignment horizontal="center" vertical="center"/>
    </dxf>
    <dxf>
      <alignment horizontal="center" vertical="center"/>
    </dxf>
    <dxf>
      <alignment horizontal="center" vertical="center" wrapText="1"/>
    </dxf>
    <dxf>
      <alignment horizontal="left" vertical="center"/>
    </dxf>
    <dxf>
      <alignment horizontal="center" vertical="center"/>
    </dxf>
    <dxf>
      <alignment horizontal="left" vertical="center" wrapText="1"/>
    </dxf>
    <dxf>
      <alignment horizontal="left" vertical="center" wrapText="1"/>
    </dxf>
    <dxf>
      <alignment horizontal="left" vertical="center" wrapText="1"/>
    </dxf>
    <dxf>
      <alignment horizontal="center" vertical="center"/>
    </dxf>
    <dxf>
      <alignment horizontal="left" vertical="center" wrapText="1"/>
    </dxf>
    <dxf>
      <alignment horizontal="center" vertical="center" wrapText="1"/>
    </dxf>
    <dxf>
      <alignment horizontal="left" vertical="center"/>
    </dxf>
    <dxf>
      <alignment horizontal="center" vertical="center"/>
    </dxf>
    <dxf>
      <numFmt numFmtId="14" formatCode="0.00%"/>
    </dxf>
    <dxf>
      <numFmt numFmtId="14" formatCode="0.00%"/>
    </dxf>
    <dxf>
      <numFmt numFmtId="166" formatCode="&quot;R$&quot;\ #,##0.00"/>
      <alignment horizontal="center" vertical="center"/>
    </dxf>
    <dxf>
      <fill>
        <patternFill patternType="solid">
          <bgColor theme="5" tint="0.39994506668294322"/>
        </patternFill>
      </fill>
    </dxf>
    <dxf>
      <numFmt numFmtId="166" formatCode="&quot;R$&quot;\ #,##0.00"/>
      <alignment horizontal="center" vertical="center"/>
    </dxf>
    <dxf>
      <numFmt numFmtId="166" formatCode="&quot;R$&quot;\ #,##0.00"/>
      <alignment horizontal="center"/>
    </dxf>
    <dxf>
      <numFmt numFmtId="166" formatCode="&quot;R$&quot;\ #,##0.00"/>
      <alignment horizontal="center" vertical="center"/>
    </dxf>
    <dxf>
      <numFmt numFmtId="166" formatCode="&quot;R$&quot;\ #,##0.00"/>
      <alignment horizontal="center" vertical="center"/>
    </dxf>
    <dxf>
      <numFmt numFmtId="166" formatCode="&quot;R$&quot;\ #,##0.00"/>
      <alignment horizontal="center" vertical="center"/>
    </dxf>
    <dxf>
      <numFmt numFmtId="14" formatCode="0.00%"/>
      <alignment horizontal="center"/>
    </dxf>
    <dxf>
      <numFmt numFmtId="166" formatCode="&quot;R$&quot;\ #,##0.00"/>
      <alignment horizontal="center" vertical="center"/>
    </dxf>
    <dxf>
      <alignment horizontal="center"/>
    </dxf>
    <dxf>
      <numFmt numFmtId="166" formatCode="&quot;R$&quot;\ #,##0.00"/>
      <alignment horizontal="center"/>
    </dxf>
    <dxf>
      <numFmt numFmtId="166" formatCode="&quot;R$&quot;\ #,##0.00"/>
      <alignment horizontal="center" vertical="center"/>
    </dxf>
    <dxf>
      <numFmt numFmtId="166" formatCode="&quot;R$&quot;\ #,##0.00"/>
      <alignment horizontal="center" vertical="center"/>
    </dxf>
    <dxf>
      <alignment horizontal="center"/>
    </dxf>
    <dxf>
      <numFmt numFmtId="166" formatCode="&quot;R$&quot;\ #,##0.00"/>
      <alignment horizontal="center"/>
    </dxf>
    <dxf>
      <numFmt numFmtId="166" formatCode="&quot;R$&quot;\ #,##0.00"/>
      <alignment horizontal="center" vertical="center"/>
    </dxf>
    <dxf>
      <numFmt numFmtId="166" formatCode="&quot;R$&quot;\ #,##0.00"/>
      <alignment horizontal="center" vertical="center"/>
    </dxf>
    <dxf>
      <alignment horizontal="center"/>
    </dxf>
    <dxf>
      <numFmt numFmtId="166" formatCode="&quot;R$&quot;\ #,##0.00"/>
      <alignment horizontal="center"/>
    </dxf>
    <dxf>
      <alignment horizontal="center"/>
    </dxf>
    <dxf>
      <numFmt numFmtId="166" formatCode="&quot;R$&quot;\ #,##0.00"/>
      <alignment horizontal="center" vertical="center"/>
    </dxf>
    <dxf>
      <alignment horizontal="center"/>
    </dxf>
    <dxf>
      <numFmt numFmtId="166" formatCode="&quot;R$&quot;\ #,##0.00"/>
      <alignment horizontal="center"/>
    </dxf>
    <dxf>
      <alignment horizontal="center"/>
    </dxf>
    <dxf>
      <numFmt numFmtId="166" formatCode="&quot;R$&quot;\ #,##0.00"/>
      <alignment horizontal="center" vertical="center"/>
    </dxf>
    <dxf>
      <alignment horizontal="center"/>
    </dxf>
    <dxf>
      <numFmt numFmtId="166" formatCode="&quot;R$&quot;\ #,##0.00"/>
      <alignment horizontal="center"/>
    </dxf>
    <dxf>
      <numFmt numFmtId="166" formatCode="&quot;R$&quot;\ #,##0.00"/>
      <alignment horizontal="center" vertical="center"/>
    </dxf>
    <dxf>
      <numFmt numFmtId="166" formatCode="&quot;R$&quot;\ #,##0.00"/>
      <alignment horizontal="center" vertical="center"/>
    </dxf>
    <dxf>
      <alignment horizontal="center"/>
    </dxf>
    <dxf>
      <alignment horizontal="center"/>
    </dxf>
    <dxf>
      <alignment horizontal="center"/>
    </dxf>
    <dxf>
      <numFmt numFmtId="166" formatCode="&quot;R$&quot;\ #,##0.00"/>
      <alignment horizontal="center" vertical="center"/>
    </dxf>
    <dxf>
      <alignment horizontal="center"/>
    </dxf>
    <dxf>
      <numFmt numFmtId="166" formatCode="&quot;R$&quot;\ #,##0.00"/>
      <alignment horizontal="center"/>
    </dxf>
    <dxf>
      <numFmt numFmtId="166" formatCode="&quot;R$&quot;\ #,##0.00"/>
      <alignment horizontal="center" vertical="center"/>
    </dxf>
    <dxf>
      <numFmt numFmtId="166" formatCode="&quot;R$&quot;\ #,##0.00"/>
      <alignment horizontal="center" vertical="center"/>
    </dxf>
    <dxf>
      <alignment horizontal="center"/>
    </dxf>
    <dxf>
      <numFmt numFmtId="166" formatCode="&quot;R$&quot;\ #,##0.00"/>
      <alignment horizontal="center"/>
    </dxf>
    <dxf>
      <numFmt numFmtId="14" formatCode="0.00%"/>
      <alignment horizontal="center"/>
    </dxf>
    <dxf>
      <numFmt numFmtId="166" formatCode="&quot;R$&quot;\ #,##0.00"/>
      <alignment horizontal="center" vertical="center"/>
    </dxf>
    <dxf>
      <alignment horizontal="center"/>
    </dxf>
    <dxf>
      <numFmt numFmtId="166" formatCode="&quot;R$&quot;\ #,##0.00"/>
      <alignment horizontal="center"/>
    </dxf>
    <dxf>
      <numFmt numFmtId="166" formatCode="&quot;R$&quot;\ #,##0.00"/>
      <alignment horizontal="center" vertical="center"/>
    </dxf>
    <dxf>
      <numFmt numFmtId="166" formatCode="&quot;R$&quot;\ #,##0.00"/>
      <alignment horizontal="center" vertical="center"/>
    </dxf>
    <dxf>
      <alignment horizontal="center"/>
    </dxf>
    <dxf>
      <numFmt numFmtId="166" formatCode="&quot;R$&quot;\ #,##0.00"/>
      <alignment horizontal="center"/>
    </dxf>
    <dxf>
      <alignment horizontal="center"/>
    </dxf>
    <dxf>
      <numFmt numFmtId="166" formatCode="&quot;R$&quot;\ #,##0.00"/>
      <alignment horizontal="center" vertical="center"/>
    </dxf>
    <dxf>
      <alignment horizontal="center"/>
    </dxf>
    <dxf>
      <alignment horizontal="center"/>
    </dxf>
    <dxf>
      <alignment horizontal="center"/>
    </dxf>
    <dxf>
      <numFmt numFmtId="166" formatCode="&quot;R$&quot;\ #,##0.00"/>
      <alignment horizontal="center" vertic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vertic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numFmt numFmtId="14" formatCode="0.00%"/>
      <alignment horizontal="center" vertical="center"/>
    </dxf>
    <dxf>
      <alignment wrapText="1"/>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numFmt numFmtId="14" formatCode="0.00%"/>
      <alignment horizontal="center" vertic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numFmt numFmtId="14" formatCode="0.00%"/>
    </dxf>
    <dxf>
      <alignment horizontal="center"/>
    </dxf>
    <dxf>
      <alignment horizontal="center"/>
    </dxf>
    <dxf>
      <numFmt numFmtId="170" formatCode="&quot;R$&quot;#,##0.00"/>
    </dxf>
    <dxf>
      <alignment horizontal="center" vertical="center"/>
    </dxf>
    <dxf>
      <alignment horizontal="center" vertical="center" wrapText="1"/>
    </dxf>
    <dxf>
      <alignment horizontal="left" vertical="center"/>
    </dxf>
    <dxf>
      <alignment horizontal="center" vertical="center"/>
    </dxf>
    <dxf>
      <alignment horizontal="center" vertical="center"/>
    </dxf>
    <dxf>
      <alignment horizontal="center" vertical="center" wrapText="1"/>
    </dxf>
    <dxf>
      <alignment horizontal="left" vertical="center"/>
    </dxf>
    <dxf>
      <alignment horizontal="center" vertical="center"/>
    </dxf>
    <dxf>
      <alignment horizontal="center" vertical="center"/>
    </dxf>
    <dxf>
      <alignment horizontal="center" vertical="center" wrapText="1"/>
    </dxf>
    <dxf>
      <alignment horizontal="left" vertical="center"/>
    </dxf>
    <dxf>
      <alignment horizontal="center" vertical="center"/>
    </dxf>
    <dxf>
      <alignment horizontal="center" vertical="center"/>
    </dxf>
    <dxf>
      <alignment horizontal="center" vertical="center" wrapText="1"/>
    </dxf>
    <dxf>
      <alignment horizontal="left" vertical="center"/>
    </dxf>
    <dxf>
      <alignment horizontal="center" vertical="center"/>
    </dxf>
    <dxf>
      <alignment horizontal="left" vertical="center" wrapText="1"/>
    </dxf>
    <dxf>
      <alignment horizontal="left" vertical="center" wrapText="1"/>
    </dxf>
    <dxf>
      <alignment horizontal="left" vertical="center" wrapText="1"/>
    </dxf>
    <dxf>
      <alignment horizontal="center" vertical="center"/>
    </dxf>
    <dxf>
      <alignment horizontal="left" vertical="center" wrapText="1"/>
    </dxf>
    <dxf>
      <alignment horizontal="center" vertical="center" wrapText="1"/>
    </dxf>
    <dxf>
      <alignment horizontal="left" vertical="center"/>
    </dxf>
    <dxf>
      <alignment horizontal="center" vertical="center"/>
    </dxf>
    <dxf>
      <numFmt numFmtId="14" formatCode="0.00%"/>
    </dxf>
    <dxf>
      <numFmt numFmtId="14" formatCode="0.00%"/>
    </dxf>
    <dxf>
      <numFmt numFmtId="166" formatCode="&quot;R$&quot;\ #,##0.00"/>
      <alignment horizontal="center" vertical="center"/>
    </dxf>
    <dxf>
      <fill>
        <patternFill patternType="solid">
          <bgColor theme="5" tint="0.39994506668294322"/>
        </patternFill>
      </fill>
    </dxf>
    <dxf>
      <numFmt numFmtId="166" formatCode="&quot;R$&quot;\ #,##0.00"/>
      <alignment horizontal="center" vertical="center"/>
    </dxf>
    <dxf>
      <numFmt numFmtId="166" formatCode="&quot;R$&quot;\ #,##0.00"/>
      <alignment horizontal="center"/>
    </dxf>
    <dxf>
      <numFmt numFmtId="166" formatCode="&quot;R$&quot;\ #,##0.00"/>
      <alignment horizontal="center" vertical="center"/>
    </dxf>
    <dxf>
      <numFmt numFmtId="166" formatCode="&quot;R$&quot;\ #,##0.00"/>
      <alignment horizontal="center" vertical="center"/>
    </dxf>
    <dxf>
      <numFmt numFmtId="166" formatCode="&quot;R$&quot;\ #,##0.00"/>
      <alignment horizontal="center" vertical="center"/>
    </dxf>
    <dxf>
      <numFmt numFmtId="14" formatCode="0.00%"/>
      <alignment horizontal="center"/>
    </dxf>
    <dxf>
      <numFmt numFmtId="166" formatCode="&quot;R$&quot;\ #,##0.00"/>
      <alignment horizontal="center" vertical="center"/>
    </dxf>
    <dxf>
      <alignment horizontal="center"/>
    </dxf>
    <dxf>
      <numFmt numFmtId="166" formatCode="&quot;R$&quot;\ #,##0.00"/>
      <alignment horizontal="center"/>
    </dxf>
    <dxf>
      <numFmt numFmtId="166" formatCode="&quot;R$&quot;\ #,##0.00"/>
      <alignment horizontal="center" vertical="center"/>
    </dxf>
    <dxf>
      <numFmt numFmtId="166" formatCode="&quot;R$&quot;\ #,##0.00"/>
      <alignment horizontal="center" vertical="center"/>
    </dxf>
    <dxf>
      <alignment horizontal="center"/>
    </dxf>
    <dxf>
      <numFmt numFmtId="166" formatCode="&quot;R$&quot;\ #,##0.00"/>
      <alignment horizontal="center"/>
    </dxf>
    <dxf>
      <numFmt numFmtId="166" formatCode="&quot;R$&quot;\ #,##0.00"/>
      <alignment horizontal="center" vertical="center"/>
    </dxf>
    <dxf>
      <numFmt numFmtId="166" formatCode="&quot;R$&quot;\ #,##0.00"/>
      <alignment horizontal="center" vertical="center"/>
    </dxf>
    <dxf>
      <alignment horizontal="center"/>
    </dxf>
    <dxf>
      <numFmt numFmtId="166" formatCode="&quot;R$&quot;\ #,##0.00"/>
      <alignment horizontal="center"/>
    </dxf>
    <dxf>
      <alignment horizontal="center"/>
    </dxf>
    <dxf>
      <numFmt numFmtId="166" formatCode="&quot;R$&quot;\ #,##0.00"/>
      <alignment horizontal="center" vertical="center"/>
    </dxf>
    <dxf>
      <alignment horizontal="center"/>
    </dxf>
    <dxf>
      <numFmt numFmtId="166" formatCode="&quot;R$&quot;\ #,##0.00"/>
      <alignment horizontal="center"/>
    </dxf>
    <dxf>
      <alignment horizontal="center"/>
    </dxf>
    <dxf>
      <numFmt numFmtId="166" formatCode="&quot;R$&quot;\ #,##0.00"/>
      <alignment horizontal="center" vertical="center"/>
    </dxf>
    <dxf>
      <alignment horizontal="center"/>
    </dxf>
    <dxf>
      <numFmt numFmtId="166" formatCode="&quot;R$&quot;\ #,##0.00"/>
      <alignment horizontal="center"/>
    </dxf>
    <dxf>
      <numFmt numFmtId="166" formatCode="&quot;R$&quot;\ #,##0.00"/>
      <alignment horizontal="center" vertical="center"/>
    </dxf>
    <dxf>
      <numFmt numFmtId="166" formatCode="&quot;R$&quot;\ #,##0.00"/>
      <alignment horizontal="center" vertical="center"/>
    </dxf>
    <dxf>
      <alignment horizontal="center"/>
    </dxf>
    <dxf>
      <alignment horizontal="center"/>
    </dxf>
    <dxf>
      <alignment horizontal="center"/>
    </dxf>
    <dxf>
      <numFmt numFmtId="166" formatCode="&quot;R$&quot;\ #,##0.00"/>
      <alignment horizontal="center" vertical="center"/>
    </dxf>
    <dxf>
      <alignment horizontal="center"/>
    </dxf>
    <dxf>
      <numFmt numFmtId="166" formatCode="&quot;R$&quot;\ #,##0.00"/>
      <alignment horizontal="center"/>
    </dxf>
    <dxf>
      <numFmt numFmtId="166" formatCode="&quot;R$&quot;\ #,##0.00"/>
      <alignment horizontal="center" vertical="center"/>
    </dxf>
    <dxf>
      <numFmt numFmtId="166" formatCode="&quot;R$&quot;\ #,##0.00"/>
      <alignment horizontal="center" vertical="center"/>
    </dxf>
    <dxf>
      <alignment horizontal="center"/>
    </dxf>
    <dxf>
      <numFmt numFmtId="166" formatCode="&quot;R$&quot;\ #,##0.00"/>
      <alignment horizontal="center"/>
    </dxf>
    <dxf>
      <numFmt numFmtId="14" formatCode="0.00%"/>
      <alignment horizontal="center"/>
    </dxf>
    <dxf>
      <numFmt numFmtId="166" formatCode="&quot;R$&quot;\ #,##0.00"/>
      <alignment horizontal="center" vertical="center"/>
    </dxf>
    <dxf>
      <alignment horizontal="center"/>
    </dxf>
    <dxf>
      <numFmt numFmtId="166" formatCode="&quot;R$&quot;\ #,##0.00"/>
      <alignment horizontal="center"/>
    </dxf>
    <dxf>
      <numFmt numFmtId="166" formatCode="&quot;R$&quot;\ #,##0.00"/>
      <alignment horizontal="center" vertical="center"/>
    </dxf>
    <dxf>
      <numFmt numFmtId="166" formatCode="&quot;R$&quot;\ #,##0.00"/>
      <alignment horizontal="center" vertical="center"/>
    </dxf>
    <dxf>
      <alignment horizontal="center"/>
    </dxf>
    <dxf>
      <numFmt numFmtId="166" formatCode="&quot;R$&quot;\ #,##0.00"/>
      <alignment horizontal="center"/>
    </dxf>
    <dxf>
      <alignment horizontal="center"/>
    </dxf>
    <dxf>
      <numFmt numFmtId="166" formatCode="&quot;R$&quot;\ #,##0.00"/>
      <alignment horizontal="center" vertical="center"/>
    </dxf>
    <dxf>
      <alignment horizontal="center"/>
    </dxf>
    <dxf>
      <alignment horizontal="center"/>
    </dxf>
    <dxf>
      <alignment horizontal="center"/>
    </dxf>
    <dxf>
      <numFmt numFmtId="166" formatCode="&quot;R$&quot;\ #,##0.00"/>
      <alignment horizontal="center" vertical="center"/>
    </dxf>
    <dxf>
      <alignment horizontal="center"/>
    </dxf>
    <dxf>
      <border>
        <vertical/>
        <horizontal style="thin">
          <color auto="1"/>
        </horizontal>
      </border>
    </dxf>
    <dxf>
      <border>
        <vertical/>
        <horizontal style="thin">
          <color auto="1"/>
        </horizontal>
      </border>
    </dxf>
  </dxfs>
  <tableStyles count="1" defaultTableStyle="TableStyleMedium2" defaultPivotStyle="PivotStyleLight16">
    <tableStyle name="Table Style 1" pivot="0" count="2">
      <tableStyleElement type="firstRowStripe" dxfId="415"/>
      <tableStyleElement type="firstHeaderCell" dxfId="414"/>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18" Type="http://schemas.openxmlformats.org/officeDocument/2006/relationships/customXml" Target="../customXml/item2.xml"/><Relationship Id="rId26" Type="http://schemas.openxmlformats.org/officeDocument/2006/relationships/customXml" Target="../customXml/item10.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5" Type="http://schemas.openxmlformats.org/officeDocument/2006/relationships/customXml" Target="../customXml/item9.xml"/><Relationship Id="rId33" Type="http://schemas.openxmlformats.org/officeDocument/2006/relationships/customXml" Target="../customXml/item17.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29" Type="http://schemas.openxmlformats.org/officeDocument/2006/relationships/customXml" Target="../customXml/item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8.xml"/><Relationship Id="rId32" Type="http://schemas.openxmlformats.org/officeDocument/2006/relationships/customXml" Target="../customXml/item16.xml"/><Relationship Id="rId5" Type="http://schemas.openxmlformats.org/officeDocument/2006/relationships/worksheet" Target="worksheets/sheet5.xml"/><Relationship Id="rId15" Type="http://schemas.openxmlformats.org/officeDocument/2006/relationships/sharedStrings" Target="sharedStrings.xml"/><Relationship Id="rId23" Type="http://schemas.openxmlformats.org/officeDocument/2006/relationships/customXml" Target="../customXml/item7.xml"/><Relationship Id="rId28" Type="http://schemas.openxmlformats.org/officeDocument/2006/relationships/customXml" Target="../customXml/item12.xml"/><Relationship Id="rId10" Type="http://schemas.openxmlformats.org/officeDocument/2006/relationships/worksheet" Target="worksheets/sheet10.xml"/><Relationship Id="rId19" Type="http://schemas.openxmlformats.org/officeDocument/2006/relationships/customXml" Target="../customXml/item3.xml"/><Relationship Id="rId31" Type="http://schemas.openxmlformats.org/officeDocument/2006/relationships/customXml" Target="../customXml/item1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 Id="rId22" Type="http://schemas.openxmlformats.org/officeDocument/2006/relationships/customXml" Target="../customXml/item6.xml"/><Relationship Id="rId27" Type="http://schemas.openxmlformats.org/officeDocument/2006/relationships/customXml" Target="../customXml/item11.xml"/><Relationship Id="rId30" Type="http://schemas.openxmlformats.org/officeDocument/2006/relationships/customXml" Target="../customXml/item14.xml"/></Relationships>
</file>

<file path=xl/tables/table1.xml><?xml version="1.0" encoding="utf-8"?>
<table xmlns="http://schemas.openxmlformats.org/spreadsheetml/2006/main" id="51" name="Table4252" displayName="Table4252" ref="A2:D7" totalsRowShown="0">
  <tableColumns count="4">
    <tableColumn id="1" name="Item" dataDxfId="413"/>
    <tableColumn id="2" name="Descrição" dataDxfId="412"/>
    <tableColumn id="3" name="Comentário" dataDxfId="411"/>
    <tableColumn id="4" name="Valor" dataDxfId="410"/>
  </tableColumns>
  <tableStyleInfo name="TableStyleMedium14" showFirstColumn="0" showLastColumn="0" showRowStripes="1" showColumnStripes="0"/>
</table>
</file>

<file path=xl/tables/table10.xml><?xml version="1.0" encoding="utf-8"?>
<table xmlns="http://schemas.openxmlformats.org/spreadsheetml/2006/main" id="60" name="ResumoMódulo427" displayName="ResumoMódulo427" ref="A110:D113" totalsRowCount="1">
  <autoFilter ref="A110:D112">
    <filterColumn colId="0" hiddenButton="1"/>
    <filterColumn colId="1" hiddenButton="1"/>
    <filterColumn colId="2" hiddenButton="1"/>
    <filterColumn colId="3" hiddenButton="1"/>
  </autoFilter>
  <tableColumns count="4">
    <tableColumn id="1" name="4" totalsRowLabel="Total" dataDxfId="377"/>
    <tableColumn id="2" name="Custo de Reposição do Profissional Ausente" dataDxfId="376"/>
    <tableColumn id="3" name="Comentário" dataDxfId="375"/>
    <tableColumn id="4" name="Valor" totalsRowFunction="sum" dataDxfId="374">
      <calculatedColumnFormula>Submódulo4.226[[#Totals],[Valor]]</calculatedColumnFormula>
    </tableColumn>
  </tableColumns>
  <tableStyleInfo name="TableStyleMedium14" showFirstColumn="0" showLastColumn="0" showRowStripes="1" showColumnStripes="0"/>
</table>
</file>

<file path=xl/tables/table11.xml><?xml version="1.0" encoding="utf-8"?>
<table xmlns="http://schemas.openxmlformats.org/spreadsheetml/2006/main" id="61" name="Módulo528" displayName="Módulo528" ref="A116:D121" totalsRowCount="1">
  <autoFilter ref="A116:D120">
    <filterColumn colId="0" hiddenButton="1"/>
    <filterColumn colId="1" hiddenButton="1"/>
    <filterColumn colId="2" hiddenButton="1"/>
    <filterColumn colId="3" hiddenButton="1"/>
  </autoFilter>
  <tableColumns count="4">
    <tableColumn id="1" name="5" totalsRowLabel="Total" dataDxfId="373"/>
    <tableColumn id="2" name="Insumos Diversos" dataDxfId="372"/>
    <tableColumn id="3" name="Comentário" dataDxfId="371"/>
    <tableColumn id="4" name="Valor" totalsRowFunction="sum" dataDxfId="370">
      <calculatedColumnFormula>Table328[[#Totals],[Qte ajustada]]</calculatedColumnFormula>
    </tableColumn>
  </tableColumns>
  <tableStyleInfo name="TableStyleMedium14" showFirstColumn="0" showLastColumn="0" showRowStripes="1" showColumnStripes="0"/>
</table>
</file>

<file path=xl/tables/table12.xml><?xml version="1.0" encoding="utf-8"?>
<table xmlns="http://schemas.openxmlformats.org/spreadsheetml/2006/main" id="62" name="Módulo629" displayName="Módulo629" ref="A131:D138" totalsRowCount="1">
  <tableColumns count="4">
    <tableColumn id="1" name="6" totalsRowLabel="Total" dataDxfId="369"/>
    <tableColumn id="2" name="Custos Indiretos, Tributos e Lucro" dataDxfId="368"/>
    <tableColumn id="3" name="Percentual" dataDxfId="367">
      <calculatedColumnFormula>G15</calculatedColumnFormula>
    </tableColumn>
    <tableColumn id="4" name="Valor" totalsRowFunction="custom">
      <calculatedColumnFormula>Módulo629[[#This Row],[Percentual]]*D145</calculatedColumnFormula>
      <totalsRowFormula>SUM(D132:D134)</totalsRowFormula>
    </tableColumn>
  </tableColumns>
  <tableStyleInfo name="TableStyleMedium14" showFirstColumn="0" showLastColumn="0" showRowStripes="1" showColumnStripes="0"/>
</table>
</file>

<file path=xl/tables/table13.xml><?xml version="1.0" encoding="utf-8"?>
<table xmlns="http://schemas.openxmlformats.org/spreadsheetml/2006/main" id="63" name="ResumoPosto30" displayName="ResumoPosto30" ref="A142:D150">
  <autoFilter ref="A142:D150">
    <filterColumn colId="0" hiddenButton="1"/>
    <filterColumn colId="1" hiddenButton="1"/>
    <filterColumn colId="2" hiddenButton="1"/>
    <filterColumn colId="3" hiddenButton="1"/>
  </autoFilter>
  <tableColumns count="4">
    <tableColumn id="1" name="Item" totalsRowLabel="Total" dataDxfId="366"/>
    <tableColumn id="2" name="Mão de obra vinculada à execução contratual" dataDxfId="365"/>
    <tableColumn id="3" name="-" dataDxfId="364"/>
    <tableColumn id="4" name="Valor" totalsRowFunction="sum" dataDxfId="363">
      <calculatedColumnFormula>(SUM(D136:D140)+D125+D126)/(100%-C127)</calculatedColumnFormula>
    </tableColumn>
  </tableColumns>
  <tableStyleInfo name="TableStyleMedium14" showFirstColumn="0" showLastColumn="0" showRowStripes="1" showColumnStripes="0"/>
</table>
</file>

<file path=xl/tables/table14.xml><?xml version="1.0" encoding="utf-8"?>
<table xmlns="http://schemas.openxmlformats.org/spreadsheetml/2006/main" id="64" name="DadosGerais31" displayName="DadosGerais31" ref="F2:G6" totalsRowShown="0">
  <autoFilter ref="F2:G6">
    <filterColumn colId="0" hiddenButton="1"/>
    <filterColumn colId="1" hiddenButton="1"/>
  </autoFilter>
  <tableColumns count="2">
    <tableColumn id="1" name="Descrição" dataDxfId="362"/>
    <tableColumn id="2" name="Valor" dataDxfId="361"/>
  </tableColumns>
  <tableStyleInfo name="TableStyleMedium14" showFirstColumn="0" showLastColumn="0" showRowStripes="1" showColumnStripes="0"/>
</table>
</file>

<file path=xl/tables/table15.xml><?xml version="1.0" encoding="utf-8"?>
<table xmlns="http://schemas.openxmlformats.org/spreadsheetml/2006/main" id="65" name="DadosDesligamento32" displayName="DadosDesligamento32" ref="F9:G12" totalsRowShown="0">
  <autoFilter ref="F9:G12">
    <filterColumn colId="0" hiddenButton="1"/>
    <filterColumn colId="1" hiddenButton="1"/>
  </autoFilter>
  <tableColumns count="2">
    <tableColumn id="1" name="Tipos" dataDxfId="360"/>
    <tableColumn id="2" name="Percentual" dataDxfId="359"/>
  </tableColumns>
  <tableStyleInfo name="TableStyleMedium14" showFirstColumn="0" showLastColumn="0" showRowStripes="1" showColumnStripes="0"/>
</table>
</file>

<file path=xl/tables/table16.xml><?xml version="1.0" encoding="utf-8"?>
<table xmlns="http://schemas.openxmlformats.org/spreadsheetml/2006/main" id="66" name="CITL33" displayName="CITL33" ref="F15:G20" totalsRowShown="0">
  <autoFilter ref="F15:G20">
    <filterColumn colId="0" hiddenButton="1"/>
    <filterColumn colId="1" hiddenButton="1"/>
  </autoFilter>
  <tableColumns count="2">
    <tableColumn id="1" name="Descrição"/>
    <tableColumn id="2" name="Percentual" dataDxfId="358"/>
  </tableColumns>
  <tableStyleInfo name="TableStyleMedium14" showFirstColumn="0" showLastColumn="0" showRowStripes="1" showColumnStripes="0"/>
</table>
</file>

<file path=xl/tables/table17.xml><?xml version="1.0" encoding="utf-8"?>
<table xmlns="http://schemas.openxmlformats.org/spreadsheetml/2006/main" id="67" name="Table868" displayName="Table868" ref="A27:D29" totalsRowShown="0">
  <autoFilter ref="A27:D29">
    <filterColumn colId="0" hiddenButton="1"/>
    <filterColumn colId="1" hiddenButton="1"/>
    <filterColumn colId="2" hiddenButton="1"/>
    <filterColumn colId="3" hiddenButton="1"/>
  </autoFilter>
  <tableColumns count="4">
    <tableColumn id="1" name="Item" dataDxfId="357"/>
    <tableColumn id="2" name="Rubrica" dataDxfId="356"/>
    <tableColumn id="3" name="Base de Cálculo" dataDxfId="355"/>
    <tableColumn id="4" name="Memória de Cálculo" dataDxfId="354"/>
  </tableColumns>
  <tableStyleInfo name="TableStyleLight18" showFirstColumn="0" showLastColumn="0" showRowStripes="1" showColumnStripes="0"/>
</table>
</file>

<file path=xl/tables/table18.xml><?xml version="1.0" encoding="utf-8"?>
<table xmlns="http://schemas.openxmlformats.org/spreadsheetml/2006/main" id="68" name="Table83969" displayName="Table83969" ref="A44:D45" totalsRowShown="0">
  <autoFilter ref="A44:D45">
    <filterColumn colId="0" hiddenButton="1"/>
    <filterColumn colId="1" hiddenButton="1"/>
    <filterColumn colId="2" hiddenButton="1"/>
    <filterColumn colId="3" hiddenButton="1"/>
  </autoFilter>
  <tableColumns count="4">
    <tableColumn id="1" name="Item" dataDxfId="353"/>
    <tableColumn id="2" name="Rubrica" dataDxfId="352"/>
    <tableColumn id="3" name="Base de Cálculo" dataDxfId="351"/>
    <tableColumn id="4" name="Memória de Cálculo" dataDxfId="350"/>
  </tableColumns>
  <tableStyleInfo name="TableStyleLight18" showFirstColumn="0" showLastColumn="0" showRowStripes="1" showColumnStripes="0"/>
</table>
</file>

<file path=xl/tables/table19.xml><?xml version="1.0" encoding="utf-8"?>
<table xmlns="http://schemas.openxmlformats.org/spreadsheetml/2006/main" id="69" name="Table84270" displayName="Table84270" ref="A57:D59" totalsRowShown="0">
  <autoFilter ref="A57:D59">
    <filterColumn colId="0" hiddenButton="1"/>
    <filterColumn colId="1" hiddenButton="1"/>
    <filterColumn colId="2" hiddenButton="1"/>
    <filterColumn colId="3" hiddenButton="1"/>
  </autoFilter>
  <tableColumns count="4">
    <tableColumn id="1" name="Item" dataDxfId="349"/>
    <tableColumn id="2" name="Rubrica" dataDxfId="348"/>
    <tableColumn id="3" name="Base de Cálculo" dataDxfId="347"/>
    <tableColumn id="4" name="Memória de Cálculo" dataDxfId="346"/>
  </tableColumns>
  <tableStyleInfo name="TableStyleLight18" showFirstColumn="0" showLastColumn="0" showRowStripes="1" showColumnStripes="0"/>
</table>
</file>

<file path=xl/tables/table2.xml><?xml version="1.0" encoding="utf-8"?>
<table xmlns="http://schemas.openxmlformats.org/spreadsheetml/2006/main" id="52" name="Módulo13" displayName="Módulo13" ref="A10:D17" totalsRowCount="1">
  <autoFilter ref="A10:D16">
    <filterColumn colId="0" hiddenButton="1"/>
    <filterColumn colId="1" hiddenButton="1"/>
    <filterColumn colId="2" hiddenButton="1"/>
    <filterColumn colId="3" hiddenButton="1"/>
  </autoFilter>
  <tableColumns count="4">
    <tableColumn id="1" name="1" totalsRowLabel="Total" dataDxfId="409"/>
    <tableColumn id="2" name="Composição da Remuneração" dataDxfId="408"/>
    <tableColumn id="3" name="Comentário" dataDxfId="407"/>
    <tableColumn id="4" name="Valor" totalsRowFunction="sum" dataDxfId="406"/>
  </tableColumns>
  <tableStyleInfo name="TableStyleMedium14" showFirstColumn="0" showLastColumn="0" showRowStripes="1" showColumnStripes="0"/>
</table>
</file>

<file path=xl/tables/table20.xml><?xml version="1.0" encoding="utf-8"?>
<table xmlns="http://schemas.openxmlformats.org/spreadsheetml/2006/main" id="70" name="Table8423771" displayName="Table8423771" ref="A79:D85" totalsRowShown="0">
  <autoFilter ref="A79:D85">
    <filterColumn colId="0" hiddenButton="1"/>
    <filterColumn colId="1" hiddenButton="1"/>
    <filterColumn colId="2" hiddenButton="1"/>
    <filterColumn colId="3" hiddenButton="1"/>
  </autoFilter>
  <tableColumns count="4">
    <tableColumn id="1" name="Item" dataDxfId="345"/>
    <tableColumn id="2" name="Rubrica" dataDxfId="344"/>
    <tableColumn id="3" name="Base de Cálculo" dataDxfId="343"/>
    <tableColumn id="4" name="Memória de Cálculo" dataDxfId="342"/>
  </tableColumns>
  <tableStyleInfo name="TableStyleLight18" showFirstColumn="0" showLastColumn="0" showRowStripes="1" showColumnStripes="0"/>
</table>
</file>

<file path=xl/tables/table21.xml><?xml version="1.0" encoding="utf-8"?>
<table xmlns="http://schemas.openxmlformats.org/spreadsheetml/2006/main" id="71" name="Table8423872" displayName="Table8423872" ref="A99:D102" totalsRowShown="0">
  <autoFilter ref="A99:D102">
    <filterColumn colId="0" hiddenButton="1"/>
    <filterColumn colId="1" hiddenButton="1"/>
    <filterColumn colId="2" hiddenButton="1"/>
    <filterColumn colId="3" hiddenButton="1"/>
  </autoFilter>
  <tableColumns count="4">
    <tableColumn id="1" name="Item" dataDxfId="341"/>
    <tableColumn id="2" name="Rubrica" dataDxfId="340"/>
    <tableColumn id="3" name="Base de Cálculo" dataDxfId="339"/>
    <tableColumn id="4" name="Memória de Cálculo" dataDxfId="338"/>
  </tableColumns>
  <tableStyleInfo name="TableStyleLight18" showFirstColumn="0" showLastColumn="0" showRowStripes="1" showColumnStripes="0"/>
</table>
</file>

<file path=xl/tables/table22.xml><?xml version="1.0" encoding="utf-8"?>
<table xmlns="http://schemas.openxmlformats.org/spreadsheetml/2006/main" id="72" name="Table842385173" displayName="Table842385173" ref="A124:D128" totalsRowShown="0">
  <autoFilter ref="A124:D128">
    <filterColumn colId="0" hiddenButton="1"/>
    <filterColumn colId="1" hiddenButton="1"/>
    <filterColumn colId="2" hiddenButton="1"/>
    <filterColumn colId="3" hiddenButton="1"/>
  </autoFilter>
  <tableColumns count="4">
    <tableColumn id="1" name="Item" dataDxfId="337"/>
    <tableColumn id="2" name="Rubrica" dataDxfId="336"/>
    <tableColumn id="3" name="Base de Cálculo" dataDxfId="335"/>
    <tableColumn id="4" name="Memória de Cálculo" dataDxfId="334"/>
  </tableColumns>
  <tableStyleInfo name="TableStyleLight18" showFirstColumn="0" showLastColumn="0" showRowStripes="1" showColumnStripes="0"/>
</table>
</file>

<file path=xl/tables/table23.xml><?xml version="1.0" encoding="utf-8"?>
<table xmlns="http://schemas.openxmlformats.org/spreadsheetml/2006/main" id="76" name="Tabela6" displayName="Tabela6" ref="F23:G25" totalsRowShown="0">
  <autoFilter ref="F23:G25">
    <filterColumn colId="0" hiddenButton="1"/>
    <filterColumn colId="1" hiddenButton="1"/>
  </autoFilter>
  <tableColumns count="2">
    <tableColumn id="1" name="Descrição"/>
    <tableColumn id="2" name="Valor" dataDxfId="333">
      <calculatedColumnFormula>((D16*(1+(1/3))*(100%+C40))/12)/30</calculatedColumnFormula>
    </tableColumn>
  </tableColumns>
  <tableStyleInfo name="TableStyleMedium14" showFirstColumn="0" showLastColumn="0" showRowStripes="1" showColumnStripes="0"/>
</table>
</file>

<file path=xl/tables/table24.xml><?xml version="1.0" encoding="utf-8"?>
<table xmlns="http://schemas.openxmlformats.org/spreadsheetml/2006/main" id="3" name="Submódulo4.12511_4" displayName="Submódulo4.12511_4" ref="A75:D82" totalsRowCount="1">
  <autoFilter ref="A75:D81"/>
  <tableColumns count="4">
    <tableColumn id="1" name="4.1" totalsRowLabel="Total" dataDxfId="332" totalsRowDxfId="4"/>
    <tableColumn id="2" name="Substituto nas Ausências Legais" dataDxfId="331"/>
    <tableColumn id="3" name="Dias de ausência" totalsRowFunction="sum" dataDxfId="330" totalsRowDxfId="3" dataCellStyle="Porcentagem"/>
    <tableColumn id="4" name="Valor" totalsRowFunction="custom" totalsRowDxfId="2">
      <calculatedColumnFormula>TRUNC(($D$71*C76),2)</calculatedColumnFormula>
      <totalsRowFormula>TRUNC(SUM(D76:D81),2)</totalsRowFormula>
    </tableColumn>
  </tableColumns>
  <tableStyleInfo name="TableStyleMedium14" showFirstColumn="0" showLastColumn="0" showRowStripes="1" showColumnStripes="0"/>
</table>
</file>

<file path=xl/tables/table25.xml><?xml version="1.0" encoding="utf-8"?>
<table xmlns="http://schemas.openxmlformats.org/spreadsheetml/2006/main" id="29" name="ResumoMódulo42713_30" displayName="ResumoMódulo42713_30" ref="A90:D93" totalsRowCount="1">
  <autoFilter ref="A90:D92"/>
  <tableColumns count="4">
    <tableColumn id="1" name="4" totalsRowLabel="Total" dataDxfId="329"/>
    <tableColumn id="2" name="Custo de Reposição do Profissional Ausente" dataDxfId="328"/>
    <tableColumn id="3" name="Comentário" dataDxfId="327"/>
    <tableColumn id="4" name="Valor" totalsRowFunction="custom">
      <calculatedColumnFormula>Submódulo4.22612_31[[#Totals],[Valor]]</calculatedColumnFormula>
      <totalsRowFormula>TRUNC(SUM(D91:D92),2)</totalsRowFormula>
    </tableColumn>
  </tableColumns>
  <tableStyleInfo name="TableStyleMedium14" showFirstColumn="0" showLastColumn="0" showRowStripes="1" showColumnStripes="0"/>
</table>
</file>

<file path=xl/tables/table26.xml><?xml version="1.0" encoding="utf-8"?>
<table xmlns="http://schemas.openxmlformats.org/spreadsheetml/2006/main" id="30" name="Submódulo4.22612_31" displayName="Submódulo4.22612_31" ref="A85:D87" totalsRowCount="1">
  <autoFilter ref="A85:D86"/>
  <tableColumns count="4">
    <tableColumn id="1" name="4.2" totalsRowLabel="Total" dataDxfId="326"/>
    <tableColumn id="2" name="Substituto na Intrajornada " dataDxfId="325"/>
    <tableColumn id="3" name="Comentário" dataDxfId="324"/>
    <tableColumn id="4" name="Valor" totalsRowFunction="sum" dataDxfId="323"/>
  </tableColumns>
  <tableStyleInfo name="TableStyleMedium14" showFirstColumn="0" showLastColumn="0" showRowStripes="1" showColumnStripes="0"/>
</table>
</file>

<file path=xl/tables/table27.xml><?xml version="1.0" encoding="utf-8"?>
<table xmlns="http://schemas.openxmlformats.org/spreadsheetml/2006/main" id="31" name="Módulo52814_32" displayName="Módulo52814_32" ref="A96:D101" totalsRowCount="1">
  <autoFilter ref="A96:D100"/>
  <tableColumns count="4">
    <tableColumn id="1" name="5" totalsRowLabel="Total" dataDxfId="322" totalsRowDxfId="58"/>
    <tableColumn id="2" name="Insumos Diversos" dataDxfId="321"/>
    <tableColumn id="3" name="Comentário" dataDxfId="320"/>
    <tableColumn id="4" name="Valor" totalsRowFunction="custom" totalsRowDxfId="57">
      <totalsRowFormula>TRUNC(SUM(D97:D100),2)</totalsRowFormula>
    </tableColumn>
  </tableColumns>
  <tableStyleInfo name="TableStyleMedium14" showFirstColumn="0" showLastColumn="0" showRowStripes="1" showColumnStripes="0"/>
</table>
</file>

<file path=xl/tables/table28.xml><?xml version="1.0" encoding="utf-8"?>
<table xmlns="http://schemas.openxmlformats.org/spreadsheetml/2006/main" id="32" name="ResumoPosto3016_33" displayName="ResumoPosto3016_33" ref="A122:D130">
  <autoFilter ref="A122:D130"/>
  <tableColumns count="4">
    <tableColumn id="1" name="Item" totalsRowLabel="Total" dataDxfId="319"/>
    <tableColumn id="2" name="Mão de obra vinculada à execução contratual" dataDxfId="318"/>
    <tableColumn id="3" name="-" dataDxfId="317"/>
    <tableColumn id="4" name="Valor" totalsRowFunction="sum" dataDxfId="316"/>
  </tableColumns>
  <tableStyleInfo name="TableStyleMedium14" showFirstColumn="0" showLastColumn="0" showRowStripes="1" showColumnStripes="0"/>
</table>
</file>

<file path=xl/tables/table29.xml><?xml version="1.0" encoding="utf-8"?>
<table xmlns="http://schemas.openxmlformats.org/spreadsheetml/2006/main" id="33" name="Módulo62915_34" displayName="Módulo62915_34" ref="A111:D118" totalsRowCount="1">
  <tableColumns count="4">
    <tableColumn id="1" name="6" totalsRowLabel="Total" dataDxfId="315" totalsRowDxfId="7"/>
    <tableColumn id="2" name="Custos Indiretos, Tributos e Lucro" dataDxfId="314"/>
    <tableColumn id="3" name="Percentual" dataDxfId="313" totalsRowDxfId="6"/>
    <tableColumn id="4" name="Valor" totalsRowDxfId="5"/>
  </tableColumns>
  <tableStyleInfo name="TableStyleMedium14" showFirstColumn="0" showLastColumn="0" showRowStripes="1" showColumnStripes="0"/>
</table>
</file>

<file path=xl/tables/table3.xml><?xml version="1.0" encoding="utf-8"?>
<table xmlns="http://schemas.openxmlformats.org/spreadsheetml/2006/main" id="53" name="Submódulo2.14" displayName="Submódulo2.14" ref="A21:D24" totalsRowCount="1">
  <autoFilter ref="A21:D23">
    <filterColumn colId="0" hiddenButton="1"/>
    <filterColumn colId="1" hiddenButton="1"/>
    <filterColumn colId="2" hiddenButton="1"/>
    <filterColumn colId="3" hiddenButton="1"/>
  </autoFilter>
  <tableColumns count="4">
    <tableColumn id="1" name="2.1" totalsRowLabel="Total" dataDxfId="405"/>
    <tableColumn id="2" name="13º (décimo terceiro) Salário e Adicional de Férias" dataDxfId="404"/>
    <tableColumn id="3" name="Comentário" dataDxfId="403"/>
    <tableColumn id="4" name="Valor" totalsRowFunction="sum" dataDxfId="402">
      <calculatedColumnFormula>(Módulo13[[#Totals],[Valor]]/12)*(1/3)</calculatedColumnFormula>
    </tableColumn>
  </tableColumns>
  <tableStyleInfo name="TableStyleMedium14" showFirstColumn="0" showLastColumn="0" showRowStripes="1" showColumnStripes="0"/>
</table>
</file>

<file path=xl/tables/table30.xml><?xml version="1.0" encoding="utf-8"?>
<table xmlns="http://schemas.openxmlformats.org/spreadsheetml/2006/main" id="34" name="DadosGerais3117_35" displayName="DadosGerais3117_35" ref="F2:G6" totalsRowShown="0">
  <autoFilter ref="F2:G6"/>
  <tableColumns count="2">
    <tableColumn id="1" name="Descrição" dataDxfId="312"/>
    <tableColumn id="2" name="Valor" dataDxfId="311"/>
  </tableColumns>
  <tableStyleInfo name="TableStyleMedium14" showFirstColumn="0" showLastColumn="0" showRowStripes="1" showColumnStripes="0"/>
</table>
</file>

<file path=xl/tables/table31.xml><?xml version="1.0" encoding="utf-8"?>
<table xmlns="http://schemas.openxmlformats.org/spreadsheetml/2006/main" id="49" name="Table42522_50" displayName="Table42522_50" ref="A2:D7" totalsRowShown="0">
  <tableColumns count="4">
    <tableColumn id="1" name="Item" dataDxfId="310"/>
    <tableColumn id="2" name="Descrição" dataDxfId="309"/>
    <tableColumn id="3" name="Comentário" dataDxfId="308"/>
    <tableColumn id="4" name="Valor" dataDxfId="307"/>
  </tableColumns>
  <tableStyleInfo name="TableStyleMedium14" showFirstColumn="0" showLastColumn="0" showRowStripes="1" showColumnStripes="0"/>
</table>
</file>

<file path=xl/tables/table32.xml><?xml version="1.0" encoding="utf-8"?>
<table xmlns="http://schemas.openxmlformats.org/spreadsheetml/2006/main" id="50" name="Módulo135_51" displayName="Módulo135_51" ref="A10:D17" totalsRowCount="1">
  <autoFilter ref="A10:D16"/>
  <tableColumns count="4">
    <tableColumn id="1" name="1" totalsRowLabel="Total" dataDxfId="306" totalsRowDxfId="63"/>
    <tableColumn id="2" name="Composição da Remuneração" dataDxfId="305"/>
    <tableColumn id="3" name="Comentário" dataDxfId="304" totalsRowDxfId="62"/>
    <tableColumn id="4" name="Valor" totalsRowFunction="custom" totalsRowDxfId="61">
      <totalsRowFormula>TRUNC(SUM(D11:D16),2)</totalsRowFormula>
    </tableColumn>
  </tableColumns>
  <tableStyleInfo name="TableStyleMedium14" showFirstColumn="0" showLastColumn="0" showRowStripes="1" showColumnStripes="0"/>
</table>
</file>

<file path=xl/tables/table33.xml><?xml version="1.0" encoding="utf-8"?>
<table xmlns="http://schemas.openxmlformats.org/spreadsheetml/2006/main" id="73" name="Submódulo2.146_74" displayName="Submódulo2.146_74" ref="A21:D24" totalsRowCount="1">
  <autoFilter ref="A21:D23"/>
  <tableColumns count="4">
    <tableColumn id="1" name="2.1" totalsRowLabel="Total" dataDxfId="303"/>
    <tableColumn id="2" name="13º (décimo terceiro) Salário e Adicional de Férias" dataDxfId="302"/>
    <tableColumn id="3" name="Comentário" dataDxfId="301">
      <calculatedColumnFormula>(((1+1/3)/12))</calculatedColumnFormula>
    </tableColumn>
    <tableColumn id="4" name="Valor" totalsRowFunction="custom">
      <calculatedColumnFormula>TRUNC($D$17*C22,2)</calculatedColumnFormula>
      <totalsRowFormula>TRUNC(SUM(D22:D23),2)</totalsRowFormula>
    </tableColumn>
  </tableColumns>
  <tableStyleInfo name="TableStyleMedium14" showFirstColumn="0" showLastColumn="0" showRowStripes="1" showColumnStripes="0"/>
</table>
</file>

<file path=xl/tables/table34.xml><?xml version="1.0" encoding="utf-8"?>
<table xmlns="http://schemas.openxmlformats.org/spreadsheetml/2006/main" id="74" name="Submódulo2.267_75" displayName="Submódulo2.267_75" ref="A31:D40" totalsRowCount="1">
  <autoFilter ref="A31:D39"/>
  <tableColumns count="4">
    <tableColumn id="1" name="2.2" totalsRowLabel="Total" dataDxfId="300"/>
    <tableColumn id="2" name="GPS, FGTS e outras contribuições" dataDxfId="299"/>
    <tableColumn id="3" name="Percentual" totalsRowFunction="sum" dataDxfId="298"/>
    <tableColumn id="4" name="Valor " totalsRowFunction="custom">
      <calculatedColumnFormula>TRUNC(($D$28*C32),2)</calculatedColumnFormula>
      <totalsRowFormula>TRUNC(SUM(D32:D39),2)</totalsRowFormula>
    </tableColumn>
  </tableColumns>
  <tableStyleInfo name="TableStyleMedium14" showFirstColumn="0" showLastColumn="0" showRowStripes="1" showColumnStripes="0"/>
</table>
</file>

<file path=xl/tables/table35.xml><?xml version="1.0" encoding="utf-8"?>
<table xmlns="http://schemas.openxmlformats.org/spreadsheetml/2006/main" id="75" name="Submódulo2.388_76" displayName="Submódulo2.388_76" ref="A43:D49" totalsRowCount="1">
  <autoFilter ref="A43:D48"/>
  <tableColumns count="4">
    <tableColumn id="1" name="2.3" totalsRowLabel="Total" dataDxfId="297" totalsRowDxfId="60"/>
    <tableColumn id="2" name="Benefícios Mensais e Diários" dataDxfId="296"/>
    <tableColumn id="3" name="Comentário" dataDxfId="295"/>
    <tableColumn id="4" name="Valor" totalsRowFunction="custom" totalsRowDxfId="59">
      <totalsRowFormula>TRUNC(SUM(D44:D48),2)</totalsRowFormula>
    </tableColumn>
  </tableColumns>
  <tableStyleInfo name="TableStyleMedium14" showFirstColumn="0" showLastColumn="0" showRowStripes="1" showColumnStripes="0"/>
</table>
</file>

<file path=xl/tables/table36.xml><?xml version="1.0" encoding="utf-8"?>
<table xmlns="http://schemas.openxmlformats.org/spreadsheetml/2006/main" id="100" name="ResumoMódulo299_101" displayName="ResumoMódulo299_101" ref="A52:D56" totalsRowCount="1">
  <autoFilter ref="A52:D55"/>
  <tableColumns count="4">
    <tableColumn id="1" name="2" totalsRowLabel="Total" dataDxfId="294"/>
    <tableColumn id="2" name="Encargos e Benefícios Anuais, Mensais e Diários" dataDxfId="293"/>
    <tableColumn id="3" name="Comentário" dataDxfId="292"/>
    <tableColumn id="4" name="Valor" totalsRowFunction="custom">
      <calculatedColumnFormula>D47</calculatedColumnFormula>
      <totalsRowFormula>TRUNC(SUM(D53:D55),2)</totalsRowFormula>
    </tableColumn>
  </tableColumns>
  <tableStyleInfo name="TableStyleMedium14" showFirstColumn="0" showLastColumn="0" showRowStripes="1" showColumnStripes="0"/>
</table>
</file>

<file path=xl/tables/table37.xml><?xml version="1.0" encoding="utf-8"?>
<table xmlns="http://schemas.openxmlformats.org/spreadsheetml/2006/main" id="101" name="Módulo32410_102" displayName="Módulo32410_102" ref="A59:D66" totalsRowCount="1">
  <autoFilter ref="A59:D65"/>
  <tableColumns count="4">
    <tableColumn id="1" name="3" totalsRowLabel="Total" dataDxfId="291" totalsRowDxfId="1"/>
    <tableColumn id="2" name="Provisão para Rescisão" dataDxfId="290"/>
    <tableColumn id="3" name="Comentário" dataDxfId="289"/>
    <tableColumn id="4" name="Valor" totalsRowFunction="custom" totalsRowDxfId="0">
      <calculatedColumnFormula>TRUNC(($D$17*C60),2)</calculatedColumnFormula>
      <totalsRowFormula>TRUNC(SUM(D60:D65),2)</totalsRowFormula>
    </tableColumn>
  </tableColumns>
  <tableStyleInfo name="TableStyleMedium14" showFirstColumn="0" showLastColumn="0" showRowStripes="1" showColumnStripes="0"/>
</table>
</file>

<file path=xl/tables/table38.xml><?xml version="1.0" encoding="utf-8"?>
<table xmlns="http://schemas.openxmlformats.org/spreadsheetml/2006/main" id="125" name="Módulo52814_32126" displayName="Módulo52814_32126" ref="A96:D101" totalsRowCount="1">
  <autoFilter ref="A96:D100"/>
  <tableColumns count="4">
    <tableColumn id="1" name="5" totalsRowLabel="Total" dataDxfId="288" totalsRowDxfId="54"/>
    <tableColumn id="2" name="Insumos Diversos" dataDxfId="287"/>
    <tableColumn id="3" name="Comentário" dataDxfId="286"/>
    <tableColumn id="4" name="Valor" totalsRowDxfId="53"/>
  </tableColumns>
  <tableStyleInfo name="TableStyleMedium14" showFirstColumn="0" showLastColumn="0" showRowStripes="1" showColumnStripes="0"/>
</table>
</file>

<file path=xl/tables/table39.xml><?xml version="1.0" encoding="utf-8"?>
<table xmlns="http://schemas.openxmlformats.org/spreadsheetml/2006/main" id="126" name="ResumoPosto3016_33127" displayName="ResumoPosto3016_33127" ref="A121:D129">
  <autoFilter ref="A121:D129"/>
  <tableColumns count="4">
    <tableColumn id="1" name="Item" totalsRowLabel="Total" dataDxfId="285"/>
    <tableColumn id="2" name="Mão de obra vinculada à execução contratual" dataDxfId="284"/>
    <tableColumn id="3" name="-" dataDxfId="283"/>
    <tableColumn id="4" name="Valor" totalsRowFunction="sum" dataDxfId="282">
      <calculatedColumnFormula>TRUNC((SUM(D115:D119)+D121),2)</calculatedColumnFormula>
    </tableColumn>
  </tableColumns>
  <tableStyleInfo name="TableStyleMedium14" showFirstColumn="0" showLastColumn="0" showRowStripes="1" showColumnStripes="0"/>
</table>
</file>

<file path=xl/tables/table4.xml><?xml version="1.0" encoding="utf-8"?>
<table xmlns="http://schemas.openxmlformats.org/spreadsheetml/2006/main" id="54" name="Submódulo2.26" displayName="Submódulo2.26" ref="A32:D41" totalsRowCount="1">
  <autoFilter ref="A32:D40">
    <filterColumn colId="0" hiddenButton="1"/>
    <filterColumn colId="1" hiddenButton="1"/>
    <filterColumn colId="2" hiddenButton="1"/>
    <filterColumn colId="3" hiddenButton="1"/>
  </autoFilter>
  <tableColumns count="4">
    <tableColumn id="1" name="2.2" totalsRowLabel="Total" dataDxfId="401"/>
    <tableColumn id="2" name="GPS, FGTS e outras contribuições" dataDxfId="400"/>
    <tableColumn id="3" name="Percentual" totalsRowFunction="sum" dataDxfId="399"/>
    <tableColumn id="4" name="Valor " totalsRowFunction="sum" dataDxfId="398">
      <calculatedColumnFormula>C33*(Módulo13[[#Totals],[Valor]]+Submódulo2.14[[#Totals],[Valor]])</calculatedColumnFormula>
    </tableColumn>
  </tableColumns>
  <tableStyleInfo name="TableStyleMedium14" showFirstColumn="0" showLastColumn="0" showRowStripes="1" showColumnStripes="0"/>
</table>
</file>

<file path=xl/tables/table40.xml><?xml version="1.0" encoding="utf-8"?>
<table xmlns="http://schemas.openxmlformats.org/spreadsheetml/2006/main" id="127" name="Módulo62915_34128" displayName="Módulo62915_34128" ref="A111:D118" totalsRowCount="1">
  <tableColumns count="4">
    <tableColumn id="1" name="6" totalsRowLabel="Total" dataDxfId="281" totalsRowDxfId="23"/>
    <tableColumn id="2" name="Custos Indiretos, Tributos e Lucro" dataDxfId="280"/>
    <tableColumn id="3" name="Percentual" dataDxfId="279" totalsRowDxfId="22"/>
    <tableColumn id="4" name="Valor" totalsRowFunction="custom" totalsRowDxfId="21">
      <calculatedColumnFormula>TRUNC($G$114*C112,2)</calculatedColumnFormula>
      <totalsRowFormula>TRUNC(SUM(D112:D114),2)</totalsRowFormula>
    </tableColumn>
  </tableColumns>
  <tableStyleInfo name="TableStyleMedium14" showFirstColumn="0" showLastColumn="0" showRowStripes="1" showColumnStripes="0"/>
</table>
</file>

<file path=xl/tables/table41.xml><?xml version="1.0" encoding="utf-8"?>
<table xmlns="http://schemas.openxmlformats.org/spreadsheetml/2006/main" id="128" name="Submódulo4.22612_31129" displayName="Submódulo4.22612_31129" ref="A85:D87" totalsRowCount="1">
  <autoFilter ref="A85:D86"/>
  <tableColumns count="4">
    <tableColumn id="1" name="4.2" totalsRowLabel="Total" dataDxfId="278"/>
    <tableColumn id="2" name="Substituto na Intrajornada " dataDxfId="277"/>
    <tableColumn id="3" name="Comentário" dataDxfId="276"/>
    <tableColumn id="4" name="Valor" totalsRowFunction="sum" dataDxfId="275"/>
  </tableColumns>
  <tableStyleInfo name="TableStyleMedium14" showFirstColumn="0" showLastColumn="0" showRowStripes="1" showColumnStripes="0"/>
</table>
</file>

<file path=xl/tables/table42.xml><?xml version="1.0" encoding="utf-8"?>
<table xmlns="http://schemas.openxmlformats.org/spreadsheetml/2006/main" id="129" name="ResumoMódulo42713_30130" displayName="ResumoMódulo42713_30130" ref="A90:D93" totalsRowCount="1">
  <autoFilter ref="A90:D92"/>
  <tableColumns count="4">
    <tableColumn id="1" name="4" totalsRowLabel="Total" dataDxfId="274"/>
    <tableColumn id="2" name="Custo de Reposição do Profissional Ausente" dataDxfId="273"/>
    <tableColumn id="3" name="Comentário" dataDxfId="272"/>
    <tableColumn id="4" name="Valor" totalsRowFunction="custom">
      <calculatedColumnFormula>Submódulo4.22612_31129[[#Totals],[Valor]]</calculatedColumnFormula>
      <totalsRowFormula>TRUNC(SUM(D91:D92),2)</totalsRowFormula>
    </tableColumn>
  </tableColumns>
  <tableStyleInfo name="TableStyleMedium14" showFirstColumn="0" showLastColumn="0" showRowStripes="1" showColumnStripes="0"/>
</table>
</file>

<file path=xl/tables/table43.xml><?xml version="1.0" encoding="utf-8"?>
<table xmlns="http://schemas.openxmlformats.org/spreadsheetml/2006/main" id="130" name="DadosGerais3117_35131" displayName="DadosGerais3117_35131" ref="F2:G6" totalsRowShown="0">
  <autoFilter ref="F2:G6"/>
  <tableColumns count="2">
    <tableColumn id="1" name="Descrição" dataDxfId="271"/>
    <tableColumn id="2" name="Valor" dataDxfId="270"/>
  </tableColumns>
  <tableStyleInfo name="TableStyleMedium14" showFirstColumn="0" showLastColumn="0" showRowStripes="1" showColumnStripes="0"/>
</table>
</file>

<file path=xl/tables/table44.xml><?xml version="1.0" encoding="utf-8"?>
<table xmlns="http://schemas.openxmlformats.org/spreadsheetml/2006/main" id="131" name="Submódulo4.12511_4132" displayName="Submódulo4.12511_4132" ref="A75:D82" totalsRowCount="1">
  <autoFilter ref="A75:D81"/>
  <tableColumns count="4">
    <tableColumn id="1" name="4.1" totalsRowLabel="Total" dataDxfId="269" totalsRowDxfId="12"/>
    <tableColumn id="2" name="Substituto nas Ausências Legais" dataDxfId="268"/>
    <tableColumn id="3" name="Dias de ausência" totalsRowFunction="sum" dataDxfId="267" totalsRowDxfId="11" dataCellStyle="Porcentagem"/>
    <tableColumn id="4" name="Valor" totalsRowFunction="custom" totalsRowDxfId="10">
      <calculatedColumnFormula>TRUNC(($D$71*C76),2)</calculatedColumnFormula>
      <totalsRowFormula>TRUNC(SUM(D76:D81),2)</totalsRowFormula>
    </tableColumn>
  </tableColumns>
  <tableStyleInfo name="TableStyleMedium14" showFirstColumn="0" showLastColumn="0" showRowStripes="1" showColumnStripes="0"/>
</table>
</file>

<file path=xl/tables/table45.xml><?xml version="1.0" encoding="utf-8"?>
<table xmlns="http://schemas.openxmlformats.org/spreadsheetml/2006/main" id="132" name="Table42522_50133" displayName="Table42522_50133" ref="A2:D7" totalsRowShown="0">
  <tableColumns count="4">
    <tableColumn id="1" name="Item" dataDxfId="266"/>
    <tableColumn id="2" name="Descrição" dataDxfId="265"/>
    <tableColumn id="3" name="Comentário" dataDxfId="264"/>
    <tableColumn id="4" name="Valor" dataDxfId="263"/>
  </tableColumns>
  <tableStyleInfo name="TableStyleMedium14" showFirstColumn="0" showLastColumn="0" showRowStripes="1" showColumnStripes="0"/>
</table>
</file>

<file path=xl/tables/table46.xml><?xml version="1.0" encoding="utf-8"?>
<table xmlns="http://schemas.openxmlformats.org/spreadsheetml/2006/main" id="133" name="Módulo135_51134" displayName="Módulo135_51134" ref="A10:D17" totalsRowCount="1">
  <autoFilter ref="A10:D16"/>
  <tableColumns count="4">
    <tableColumn id="1" name="1" totalsRowLabel="Total" dataDxfId="262"/>
    <tableColumn id="2" name="Composição da Remuneração" dataDxfId="261"/>
    <tableColumn id="3" name="Comentário" dataDxfId="260"/>
    <tableColumn id="4" name="Valor" totalsRowFunction="custom">
      <totalsRowFormula>TRUNC(SUM(D11:D16),2)</totalsRowFormula>
    </tableColumn>
  </tableColumns>
  <tableStyleInfo name="TableStyleMedium14" showFirstColumn="0" showLastColumn="0" showRowStripes="1" showColumnStripes="0"/>
</table>
</file>

<file path=xl/tables/table47.xml><?xml version="1.0" encoding="utf-8"?>
<table xmlns="http://schemas.openxmlformats.org/spreadsheetml/2006/main" id="134" name="Submódulo2.146_74135" displayName="Submódulo2.146_74135" ref="A21:D24" totalsRowCount="1">
  <autoFilter ref="A21:D23"/>
  <tableColumns count="4">
    <tableColumn id="1" name="2.1" totalsRowLabel="Total" dataDxfId="259"/>
    <tableColumn id="2" name="13º (décimo terceiro) Salário e Adicional de Férias" dataDxfId="258"/>
    <tableColumn id="3" name="Comentário" dataDxfId="257">
      <calculatedColumnFormula>(((1+1/3)/12))</calculatedColumnFormula>
    </tableColumn>
    <tableColumn id="4" name="Valor" totalsRowFunction="custom">
      <calculatedColumnFormula>TRUNC($D$17*C22,2)</calculatedColumnFormula>
      <totalsRowFormula>TRUNC(SUM(D22:D23),2)</totalsRowFormula>
    </tableColumn>
  </tableColumns>
  <tableStyleInfo name="TableStyleMedium14" showFirstColumn="0" showLastColumn="0" showRowStripes="1" showColumnStripes="0"/>
</table>
</file>

<file path=xl/tables/table48.xml><?xml version="1.0" encoding="utf-8"?>
<table xmlns="http://schemas.openxmlformats.org/spreadsheetml/2006/main" id="135" name="Submódulo2.267_75136" displayName="Submódulo2.267_75136" ref="A31:D40" totalsRowCount="1">
  <autoFilter ref="A31:D39"/>
  <tableColumns count="4">
    <tableColumn id="1" name="2.2" totalsRowLabel="Total" dataDxfId="256"/>
    <tableColumn id="2" name="GPS, FGTS e outras contribuições" dataDxfId="255"/>
    <tableColumn id="3" name="Percentual" totalsRowFunction="sum" dataDxfId="254"/>
    <tableColumn id="4" name="Valor " totalsRowFunction="custom">
      <calculatedColumnFormula>TRUNC(($D$28*C32),2)</calculatedColumnFormula>
      <totalsRowFormula>TRUNC(SUM(D32:D39),2)</totalsRowFormula>
    </tableColumn>
  </tableColumns>
  <tableStyleInfo name="TableStyleMedium14" showFirstColumn="0" showLastColumn="0" showRowStripes="1" showColumnStripes="0"/>
</table>
</file>

<file path=xl/tables/table49.xml><?xml version="1.0" encoding="utf-8"?>
<table xmlns="http://schemas.openxmlformats.org/spreadsheetml/2006/main" id="136" name="Submódulo2.388_76137" displayName="Submódulo2.388_76137" ref="A43:D49" totalsRowCount="1">
  <autoFilter ref="A43:D48"/>
  <tableColumns count="4">
    <tableColumn id="1" name="2.3" totalsRowLabel="Total" dataDxfId="253" totalsRowDxfId="56"/>
    <tableColumn id="2" name="Benefícios Mensais e Diários" dataDxfId="252"/>
    <tableColumn id="3" name="Comentário" dataDxfId="251"/>
    <tableColumn id="4" name="Valor" totalsRowFunction="custom" totalsRowDxfId="55">
      <totalsRowFormula>TRUNC(SUM(D44:D48),2)</totalsRowFormula>
    </tableColumn>
  </tableColumns>
  <tableStyleInfo name="TableStyleMedium14" showFirstColumn="0" showLastColumn="0" showRowStripes="1" showColumnStripes="0"/>
</table>
</file>

<file path=xl/tables/table5.xml><?xml version="1.0" encoding="utf-8"?>
<table xmlns="http://schemas.openxmlformats.org/spreadsheetml/2006/main" id="55" name="Submódulo2.38" displayName="Submódulo2.38" ref="A48:D54" totalsRowCount="1">
  <autoFilter ref="A48:D53">
    <filterColumn colId="0" hiddenButton="1"/>
    <filterColumn colId="1" hiddenButton="1"/>
    <filterColumn colId="2" hiddenButton="1"/>
    <filterColumn colId="3" hiddenButton="1"/>
  </autoFilter>
  <tableColumns count="4">
    <tableColumn id="1" name="2.3" totalsRowLabel="Total" dataDxfId="397"/>
    <tableColumn id="2" name="Benefícios Mensais e Diários" dataDxfId="396"/>
    <tableColumn id="3" name="Comentário" dataDxfId="395"/>
    <tableColumn id="4" name="Valor" totalsRowFunction="sum" dataDxfId="394"/>
  </tableColumns>
  <tableStyleInfo name="TableStyleMedium14" showFirstColumn="0" showLastColumn="0" showRowStripes="1" showColumnStripes="0"/>
</table>
</file>

<file path=xl/tables/table50.xml><?xml version="1.0" encoding="utf-8"?>
<table xmlns="http://schemas.openxmlformats.org/spreadsheetml/2006/main" id="137" name="ResumoMódulo299_101138" displayName="ResumoMódulo299_101138" ref="A52:D56" totalsRowCount="1">
  <autoFilter ref="A52:D55"/>
  <tableColumns count="4">
    <tableColumn id="1" name="2" totalsRowLabel="Total" dataDxfId="250"/>
    <tableColumn id="2" name="Encargos e Benefícios Anuais, Mensais e Diários" dataDxfId="249"/>
    <tableColumn id="3" name="Comentário" dataDxfId="248"/>
    <tableColumn id="4" name="Valor" totalsRowFunction="custom">
      <calculatedColumnFormula>D47</calculatedColumnFormula>
      <totalsRowFormula>TRUNC(SUM(D53:D55),2)</totalsRowFormula>
    </tableColumn>
  </tableColumns>
  <tableStyleInfo name="TableStyleMedium14" showFirstColumn="0" showLastColumn="0" showRowStripes="1" showColumnStripes="0"/>
</table>
</file>

<file path=xl/tables/table51.xml><?xml version="1.0" encoding="utf-8"?>
<table xmlns="http://schemas.openxmlformats.org/spreadsheetml/2006/main" id="138" name="Módulo32410_102139" displayName="Módulo32410_102139" ref="A59:D66" totalsRowCount="1">
  <autoFilter ref="A59:D65"/>
  <tableColumns count="4">
    <tableColumn id="1" name="3" totalsRowLabel="Total" dataDxfId="247" totalsRowDxfId="9"/>
    <tableColumn id="2" name="Provisão para Rescisão" dataDxfId="246"/>
    <tableColumn id="3" name="Comentário" dataDxfId="245"/>
    <tableColumn id="4" name="Valor" totalsRowFunction="custom" totalsRowDxfId="8">
      <calculatedColumnFormula>TRUNC(($D$17*C60),2)</calculatedColumnFormula>
      <totalsRowFormula>TRUNC(SUM(D60:D65),2)</totalsRowFormula>
    </tableColumn>
  </tableColumns>
  <tableStyleInfo name="TableStyleMedium14" showFirstColumn="0" showLastColumn="0" showRowStripes="1" showColumnStripes="0"/>
</table>
</file>

<file path=xl/tables/table52.xml><?xml version="1.0" encoding="utf-8"?>
<table xmlns="http://schemas.openxmlformats.org/spreadsheetml/2006/main" id="77" name="Table425278" displayName="Table425278" ref="A2:D7" totalsRowShown="0">
  <tableColumns count="4">
    <tableColumn id="1" name="Item" dataDxfId="244"/>
    <tableColumn id="2" name="Descrição" dataDxfId="243"/>
    <tableColumn id="3" name="Comentário" dataDxfId="242"/>
    <tableColumn id="4" name="Valor" dataDxfId="241"/>
  </tableColumns>
  <tableStyleInfo name="TableStyleMedium14" showFirstColumn="0" showLastColumn="0" showRowStripes="1" showColumnStripes="0"/>
</table>
</file>

<file path=xl/tables/table53.xml><?xml version="1.0" encoding="utf-8"?>
<table xmlns="http://schemas.openxmlformats.org/spreadsheetml/2006/main" id="78" name="Módulo1379" displayName="Módulo1379" ref="A10:D17" totalsRowCount="1">
  <autoFilter ref="A10:D16">
    <filterColumn colId="0" hiddenButton="1"/>
    <filterColumn colId="1" hiddenButton="1"/>
    <filterColumn colId="2" hiddenButton="1"/>
    <filterColumn colId="3" hiddenButton="1"/>
  </autoFilter>
  <tableColumns count="4">
    <tableColumn id="1" name="1" totalsRowLabel="Total" dataDxfId="240"/>
    <tableColumn id="2" name="Composição da Remuneração" dataDxfId="239"/>
    <tableColumn id="3" name="Comentário" dataDxfId="238"/>
    <tableColumn id="4" name="Valor" totalsRowFunction="sum" dataDxfId="237"/>
  </tableColumns>
  <tableStyleInfo name="TableStyleMedium14" showFirstColumn="0" showLastColumn="0" showRowStripes="1" showColumnStripes="0"/>
</table>
</file>

<file path=xl/tables/table54.xml><?xml version="1.0" encoding="utf-8"?>
<table xmlns="http://schemas.openxmlformats.org/spreadsheetml/2006/main" id="79" name="Submódulo2.1480" displayName="Submódulo2.1480" ref="A21:D24" totalsRowCount="1">
  <autoFilter ref="A21:D23">
    <filterColumn colId="0" hiddenButton="1"/>
    <filterColumn colId="1" hiddenButton="1"/>
    <filterColumn colId="2" hiddenButton="1"/>
    <filterColumn colId="3" hiddenButton="1"/>
  </autoFilter>
  <tableColumns count="4">
    <tableColumn id="1" name="2.1" totalsRowLabel="Total" dataDxfId="236"/>
    <tableColumn id="2" name="13º (décimo terceiro) Salário e Adicional de Férias" dataDxfId="235"/>
    <tableColumn id="3" name="Comentário" dataDxfId="234"/>
    <tableColumn id="4" name="Valor" totalsRowFunction="sum" dataDxfId="233">
      <calculatedColumnFormula>(Módulo1379[[#Totals],[Valor]]/12)*(1/3)</calculatedColumnFormula>
    </tableColumn>
  </tableColumns>
  <tableStyleInfo name="TableStyleMedium14" showFirstColumn="0" showLastColumn="0" showRowStripes="1" showColumnStripes="0"/>
</table>
</file>

<file path=xl/tables/table55.xml><?xml version="1.0" encoding="utf-8"?>
<table xmlns="http://schemas.openxmlformats.org/spreadsheetml/2006/main" id="80" name="Submódulo2.2681" displayName="Submódulo2.2681" ref="A32:D41" totalsRowCount="1">
  <autoFilter ref="A32:D40">
    <filterColumn colId="0" hiddenButton="1"/>
    <filterColumn colId="1" hiddenButton="1"/>
    <filterColumn colId="2" hiddenButton="1"/>
    <filterColumn colId="3" hiddenButton="1"/>
  </autoFilter>
  <tableColumns count="4">
    <tableColumn id="1" name="2.2" totalsRowLabel="Total" dataDxfId="232"/>
    <tableColumn id="2" name="GPS, FGTS e outras contribuições" dataDxfId="231"/>
    <tableColumn id="3" name="Percentual" totalsRowFunction="sum" dataDxfId="230"/>
    <tableColumn id="4" name="Valor " totalsRowFunction="sum" dataDxfId="229">
      <calculatedColumnFormula>C33*(Módulo1379[[#Totals],[Valor]]+Submódulo2.1480[[#Totals],[Valor]])</calculatedColumnFormula>
    </tableColumn>
  </tableColumns>
  <tableStyleInfo name="TableStyleMedium14" showFirstColumn="0" showLastColumn="0" showRowStripes="1" showColumnStripes="0"/>
</table>
</file>

<file path=xl/tables/table56.xml><?xml version="1.0" encoding="utf-8"?>
<table xmlns="http://schemas.openxmlformats.org/spreadsheetml/2006/main" id="81" name="Submódulo2.3882" displayName="Submódulo2.3882" ref="A48:D54" totalsRowCount="1">
  <autoFilter ref="A48:D53">
    <filterColumn colId="0" hiddenButton="1"/>
    <filterColumn colId="1" hiddenButton="1"/>
    <filterColumn colId="2" hiddenButton="1"/>
    <filterColumn colId="3" hiddenButton="1"/>
  </autoFilter>
  <tableColumns count="4">
    <tableColumn id="1" name="2.3" totalsRowLabel="Total" dataDxfId="228"/>
    <tableColumn id="2" name="Benefícios Mensais e Diários" dataDxfId="227"/>
    <tableColumn id="3" name="Comentário" dataDxfId="226"/>
    <tableColumn id="4" name="Valor" totalsRowFunction="sum" dataDxfId="225"/>
  </tableColumns>
  <tableStyleInfo name="TableStyleMedium14" showFirstColumn="0" showLastColumn="0" showRowStripes="1" showColumnStripes="0"/>
</table>
</file>

<file path=xl/tables/table57.xml><?xml version="1.0" encoding="utf-8"?>
<table xmlns="http://schemas.openxmlformats.org/spreadsheetml/2006/main" id="82" name="ResumoMódulo2983" displayName="ResumoMódulo2983" ref="A62:D66" totalsRowCount="1">
  <autoFilter ref="A62:D65">
    <filterColumn colId="0" hiddenButton="1"/>
    <filterColumn colId="1" hiddenButton="1"/>
    <filterColumn colId="2" hiddenButton="1"/>
    <filterColumn colId="3" hiddenButton="1"/>
  </autoFilter>
  <tableColumns count="4">
    <tableColumn id="1" name="2" totalsRowLabel="Total" dataDxfId="224"/>
    <tableColumn id="2" name="Encargos e Benefícios Anuais, Mensais e Diários" dataDxfId="223"/>
    <tableColumn id="3" name="Comentário" dataDxfId="222"/>
    <tableColumn id="4" name="Valor" totalsRowFunction="sum" dataDxfId="221">
      <calculatedColumnFormula>Submódulo2.3882[[#Totals],[Valor]]</calculatedColumnFormula>
    </tableColumn>
  </tableColumns>
  <tableStyleInfo name="TableStyleMedium14" showFirstColumn="0" showLastColumn="0" showRowStripes="1" showColumnStripes="0"/>
</table>
</file>

<file path=xl/tables/table58.xml><?xml version="1.0" encoding="utf-8"?>
<table xmlns="http://schemas.openxmlformats.org/spreadsheetml/2006/main" id="83" name="Módulo32484" displayName="Módulo32484" ref="A69:D76" totalsRowCount="1">
  <autoFilter ref="A69:D75">
    <filterColumn colId="0" hiddenButton="1"/>
    <filterColumn colId="1" hiddenButton="1"/>
    <filterColumn colId="2" hiddenButton="1"/>
    <filterColumn colId="3" hiddenButton="1"/>
  </autoFilter>
  <tableColumns count="4">
    <tableColumn id="1" name="3" totalsRowLabel="Total" dataDxfId="220"/>
    <tableColumn id="2" name="Provisão para Rescisão" dataDxfId="219"/>
    <tableColumn id="3" name="Comentário" dataDxfId="218"/>
    <tableColumn id="4" name="Valor" totalsRowFunction="sum" dataDxfId="217">
      <calculatedColumnFormula>-D58*Encarregado!G7</calculatedColumnFormula>
    </tableColumn>
  </tableColumns>
  <tableStyleInfo name="TableStyleMedium14" showFirstColumn="0" showLastColumn="0" showRowStripes="1" showColumnStripes="0"/>
</table>
</file>

<file path=xl/tables/table59.xml><?xml version="1.0" encoding="utf-8"?>
<table xmlns="http://schemas.openxmlformats.org/spreadsheetml/2006/main" id="84" name="Submódulo4.12585" displayName="Submódulo4.12585" ref="A89:D96" totalsRowCount="1">
  <autoFilter ref="A89:D95">
    <filterColumn colId="0" hiddenButton="1"/>
    <filterColumn colId="1" hiddenButton="1"/>
    <filterColumn colId="2" hiddenButton="1"/>
    <filterColumn colId="3" hiddenButton="1"/>
  </autoFilter>
  <tableColumns count="4">
    <tableColumn id="1" name="4.1" totalsRowLabel="Total" dataDxfId="216"/>
    <tableColumn id="2" name="Substituto nas Ausências Legais" dataDxfId="215"/>
    <tableColumn id="3" name="Dias de ausência" totalsRowFunction="sum" dataDxfId="214"/>
    <tableColumn id="4" name="Valor" totalsRowFunction="sum" dataDxfId="213">
      <calculatedColumnFormula>(C90*G$24)/12</calculatedColumnFormula>
    </tableColumn>
  </tableColumns>
  <tableStyleInfo name="TableStyleMedium14" showFirstColumn="0" showLastColumn="0" showRowStripes="1" showColumnStripes="0"/>
</table>
</file>

<file path=xl/tables/table6.xml><?xml version="1.0" encoding="utf-8"?>
<table xmlns="http://schemas.openxmlformats.org/spreadsheetml/2006/main" id="56" name="ResumoMódulo29" displayName="ResumoMódulo29" ref="A62:D66" totalsRowCount="1">
  <autoFilter ref="A62:D65">
    <filterColumn colId="0" hiddenButton="1"/>
    <filterColumn colId="1" hiddenButton="1"/>
    <filterColumn colId="2" hiddenButton="1"/>
    <filterColumn colId="3" hiddenButton="1"/>
  </autoFilter>
  <tableColumns count="4">
    <tableColumn id="1" name="2" totalsRowLabel="Total" dataDxfId="393"/>
    <tableColumn id="2" name="Encargos e Benefícios Anuais, Mensais e Diários" dataDxfId="392"/>
    <tableColumn id="3" name="Comentário" dataDxfId="391"/>
    <tableColumn id="4" name="Valor" totalsRowFunction="sum" dataDxfId="390">
      <calculatedColumnFormula>Submódulo2.38[[#Totals],[Valor]]</calculatedColumnFormula>
    </tableColumn>
  </tableColumns>
  <tableStyleInfo name="TableStyleMedium14" showFirstColumn="0" showLastColumn="0" showRowStripes="1" showColumnStripes="0"/>
</table>
</file>

<file path=xl/tables/table60.xml><?xml version="1.0" encoding="utf-8"?>
<table xmlns="http://schemas.openxmlformats.org/spreadsheetml/2006/main" id="85" name="Submódulo4.22686" displayName="Submódulo4.22686" ref="A105:D107" totalsRowCount="1">
  <autoFilter ref="A105:D106">
    <filterColumn colId="0" hiddenButton="1"/>
    <filterColumn colId="1" hiddenButton="1"/>
    <filterColumn colId="2" hiddenButton="1"/>
    <filterColumn colId="3" hiddenButton="1"/>
  </autoFilter>
  <tableColumns count="4">
    <tableColumn id="1" name="4.2" totalsRowLabel="Total" dataDxfId="212"/>
    <tableColumn id="2" name="Substituto na Intrajornada " dataDxfId="211"/>
    <tableColumn id="3" name="Comentário" dataDxfId="210"/>
    <tableColumn id="4" name="Valor" totalsRowFunction="sum" dataDxfId="209"/>
  </tableColumns>
  <tableStyleInfo name="TableStyleMedium14" showFirstColumn="0" showLastColumn="0" showRowStripes="1" showColumnStripes="0"/>
</table>
</file>

<file path=xl/tables/table61.xml><?xml version="1.0" encoding="utf-8"?>
<table xmlns="http://schemas.openxmlformats.org/spreadsheetml/2006/main" id="86" name="ResumoMódulo42787" displayName="ResumoMódulo42787" ref="A110:D113" totalsRowCount="1">
  <autoFilter ref="A110:D112">
    <filterColumn colId="0" hiddenButton="1"/>
    <filterColumn colId="1" hiddenButton="1"/>
    <filterColumn colId="2" hiddenButton="1"/>
    <filterColumn colId="3" hiddenButton="1"/>
  </autoFilter>
  <tableColumns count="4">
    <tableColumn id="1" name="4" totalsRowLabel="Total" dataDxfId="208"/>
    <tableColumn id="2" name="Custo de Reposição do Profissional Ausente" dataDxfId="207"/>
    <tableColumn id="3" name="Comentário" dataDxfId="206"/>
    <tableColumn id="4" name="Valor" totalsRowFunction="sum" dataDxfId="205">
      <calculatedColumnFormula>Submódulo4.22686[[#Totals],[Valor]]</calculatedColumnFormula>
    </tableColumn>
  </tableColumns>
  <tableStyleInfo name="TableStyleMedium14" showFirstColumn="0" showLastColumn="0" showRowStripes="1" showColumnStripes="0"/>
</table>
</file>

<file path=xl/tables/table62.xml><?xml version="1.0" encoding="utf-8"?>
<table xmlns="http://schemas.openxmlformats.org/spreadsheetml/2006/main" id="87" name="Módulo52888" displayName="Módulo52888" ref="A116:D121" totalsRowCount="1">
  <autoFilter ref="A116:D120">
    <filterColumn colId="0" hiddenButton="1"/>
    <filterColumn colId="1" hiddenButton="1"/>
    <filterColumn colId="2" hiddenButton="1"/>
    <filterColumn colId="3" hiddenButton="1"/>
  </autoFilter>
  <tableColumns count="4">
    <tableColumn id="1" name="5" totalsRowLabel="Total" dataDxfId="204"/>
    <tableColumn id="2" name="Insumos Diversos" dataDxfId="203"/>
    <tableColumn id="3" name="Comentário" dataDxfId="202"/>
    <tableColumn id="4" name="Valor" totalsRowFunction="sum" dataDxfId="201"/>
  </tableColumns>
  <tableStyleInfo name="TableStyleMedium14" showFirstColumn="0" showLastColumn="0" showRowStripes="1" showColumnStripes="0"/>
</table>
</file>

<file path=xl/tables/table63.xml><?xml version="1.0" encoding="utf-8"?>
<table xmlns="http://schemas.openxmlformats.org/spreadsheetml/2006/main" id="88" name="Módulo62989" displayName="Módulo62989" ref="A131:D138" totalsRowCount="1">
  <tableColumns count="4">
    <tableColumn id="1" name="6" totalsRowLabel="Total" dataDxfId="200"/>
    <tableColumn id="2" name="Custos Indiretos, Tributos e Lucro" dataDxfId="199"/>
    <tableColumn id="3" name="Percentual" dataDxfId="198">
      <calculatedColumnFormula>G15</calculatedColumnFormula>
    </tableColumn>
    <tableColumn id="4" name="Valor" totalsRowFunction="custom">
      <calculatedColumnFormula>Módulo62989[[#This Row],[Percentual]]*D145</calculatedColumnFormula>
      <totalsRowFormula>SUM(D132:D134)</totalsRowFormula>
    </tableColumn>
  </tableColumns>
  <tableStyleInfo name="TableStyleMedium14" showFirstColumn="0" showLastColumn="0" showRowStripes="1" showColumnStripes="0"/>
</table>
</file>

<file path=xl/tables/table64.xml><?xml version="1.0" encoding="utf-8"?>
<table xmlns="http://schemas.openxmlformats.org/spreadsheetml/2006/main" id="89" name="ResumoPosto3090" displayName="ResumoPosto3090" ref="A142:D150">
  <autoFilter ref="A142:D150">
    <filterColumn colId="0" hiddenButton="1"/>
    <filterColumn colId="1" hiddenButton="1"/>
    <filterColumn colId="2" hiddenButton="1"/>
    <filterColumn colId="3" hiddenButton="1"/>
  </autoFilter>
  <tableColumns count="4">
    <tableColumn id="1" name="Item" totalsRowLabel="Total" dataDxfId="197"/>
    <tableColumn id="2" name="Mão de obra vinculada à execução contratual" dataDxfId="196"/>
    <tableColumn id="3" name="-" dataDxfId="195"/>
    <tableColumn id="4" name="Valor" totalsRowFunction="sum" dataDxfId="194">
      <calculatedColumnFormula>(SUM(D136:D140)+D125+D126)/(100%-C127)</calculatedColumnFormula>
    </tableColumn>
  </tableColumns>
  <tableStyleInfo name="TableStyleMedium14" showFirstColumn="0" showLastColumn="0" showRowStripes="1" showColumnStripes="0"/>
</table>
</file>

<file path=xl/tables/table65.xml><?xml version="1.0" encoding="utf-8"?>
<table xmlns="http://schemas.openxmlformats.org/spreadsheetml/2006/main" id="90" name="DadosGerais3191" displayName="DadosGerais3191" ref="F2:G6" totalsRowShown="0">
  <autoFilter ref="F2:G6">
    <filterColumn colId="0" hiddenButton="1"/>
    <filterColumn colId="1" hiddenButton="1"/>
  </autoFilter>
  <tableColumns count="2">
    <tableColumn id="1" name="Descrição" dataDxfId="193"/>
    <tableColumn id="2" name="Valor" dataDxfId="192"/>
  </tableColumns>
  <tableStyleInfo name="TableStyleMedium14" showFirstColumn="0" showLastColumn="0" showRowStripes="1" showColumnStripes="0"/>
</table>
</file>

<file path=xl/tables/table66.xml><?xml version="1.0" encoding="utf-8"?>
<table xmlns="http://schemas.openxmlformats.org/spreadsheetml/2006/main" id="91" name="DadosDesligamento3292" displayName="DadosDesligamento3292" ref="F9:G12" totalsRowShown="0">
  <autoFilter ref="F9:G12">
    <filterColumn colId="0" hiddenButton="1"/>
    <filterColumn colId="1" hiddenButton="1"/>
  </autoFilter>
  <tableColumns count="2">
    <tableColumn id="1" name="Tipos" dataDxfId="191"/>
    <tableColumn id="2" name="Percentual" dataDxfId="190"/>
  </tableColumns>
  <tableStyleInfo name="TableStyleMedium14" showFirstColumn="0" showLastColumn="0" showRowStripes="1" showColumnStripes="0"/>
</table>
</file>

<file path=xl/tables/table67.xml><?xml version="1.0" encoding="utf-8"?>
<table xmlns="http://schemas.openxmlformats.org/spreadsheetml/2006/main" id="92" name="CITL3393" displayName="CITL3393" ref="F15:G20" totalsRowShown="0">
  <autoFilter ref="F15:G20">
    <filterColumn colId="0" hiddenButton="1"/>
    <filterColumn colId="1" hiddenButton="1"/>
  </autoFilter>
  <tableColumns count="2">
    <tableColumn id="1" name="Descrição"/>
    <tableColumn id="2" name="Percentual" dataDxfId="189"/>
  </tableColumns>
  <tableStyleInfo name="TableStyleMedium14" showFirstColumn="0" showLastColumn="0" showRowStripes="1" showColumnStripes="0"/>
</table>
</file>

<file path=xl/tables/table68.xml><?xml version="1.0" encoding="utf-8"?>
<table xmlns="http://schemas.openxmlformats.org/spreadsheetml/2006/main" id="93" name="Table86894" displayName="Table86894" ref="A27:D29" totalsRowShown="0">
  <autoFilter ref="A27:D29">
    <filterColumn colId="0" hiddenButton="1"/>
    <filterColumn colId="1" hiddenButton="1"/>
    <filterColumn colId="2" hiddenButton="1"/>
    <filterColumn colId="3" hiddenButton="1"/>
  </autoFilter>
  <tableColumns count="4">
    <tableColumn id="1" name="Item" dataDxfId="188"/>
    <tableColumn id="2" name="Rubrica" dataDxfId="187"/>
    <tableColumn id="3" name="Base de Cálculo" dataDxfId="186"/>
    <tableColumn id="4" name="Memória de Cálculo" dataDxfId="185"/>
  </tableColumns>
  <tableStyleInfo name="TableStyleLight18" showFirstColumn="0" showLastColumn="0" showRowStripes="1" showColumnStripes="0"/>
</table>
</file>

<file path=xl/tables/table69.xml><?xml version="1.0" encoding="utf-8"?>
<table xmlns="http://schemas.openxmlformats.org/spreadsheetml/2006/main" id="94" name="Table8396995" displayName="Table8396995" ref="A44:D45" totalsRowShown="0">
  <autoFilter ref="A44:D45">
    <filterColumn colId="0" hiddenButton="1"/>
    <filterColumn colId="1" hiddenButton="1"/>
    <filterColumn colId="2" hiddenButton="1"/>
    <filterColumn colId="3" hiddenButton="1"/>
  </autoFilter>
  <tableColumns count="4">
    <tableColumn id="1" name="Item" dataDxfId="184"/>
    <tableColumn id="2" name="Rubrica" dataDxfId="183"/>
    <tableColumn id="3" name="Base de Cálculo" dataDxfId="182"/>
    <tableColumn id="4" name="Memória de Cálculo" dataDxfId="181"/>
  </tableColumns>
  <tableStyleInfo name="TableStyleLight18" showFirstColumn="0" showLastColumn="0" showRowStripes="1" showColumnStripes="0"/>
</table>
</file>

<file path=xl/tables/table7.xml><?xml version="1.0" encoding="utf-8"?>
<table xmlns="http://schemas.openxmlformats.org/spreadsheetml/2006/main" id="57" name="Módulo324" displayName="Módulo324" ref="A69:D76" totalsRowCount="1">
  <autoFilter ref="A69:D75">
    <filterColumn colId="0" hiddenButton="1"/>
    <filterColumn colId="1" hiddenButton="1"/>
    <filterColumn colId="2" hiddenButton="1"/>
    <filterColumn colId="3" hiddenButton="1"/>
  </autoFilter>
  <tableColumns count="4">
    <tableColumn id="1" name="3" totalsRowLabel="Total" dataDxfId="389"/>
    <tableColumn id="2" name="Provisão para Rescisão" dataDxfId="388"/>
    <tableColumn id="3" name="Comentário" dataDxfId="387"/>
    <tableColumn id="4" name="Valor" totalsRowFunction="sum" dataDxfId="386">
      <calculatedColumnFormula>-D58*Servente!G7</calculatedColumnFormula>
    </tableColumn>
  </tableColumns>
  <tableStyleInfo name="TableStyleMedium14" showFirstColumn="0" showLastColumn="0" showRowStripes="1" showColumnStripes="0"/>
</table>
</file>

<file path=xl/tables/table70.xml><?xml version="1.0" encoding="utf-8"?>
<table xmlns="http://schemas.openxmlformats.org/spreadsheetml/2006/main" id="95" name="Table8427096" displayName="Table8427096" ref="A57:D59" totalsRowShown="0">
  <autoFilter ref="A57:D59">
    <filterColumn colId="0" hiddenButton="1"/>
    <filterColumn colId="1" hiddenButton="1"/>
    <filterColumn colId="2" hiddenButton="1"/>
    <filterColumn colId="3" hiddenButton="1"/>
  </autoFilter>
  <tableColumns count="4">
    <tableColumn id="1" name="Item" dataDxfId="180"/>
    <tableColumn id="2" name="Rubrica" dataDxfId="179"/>
    <tableColumn id="3" name="Base de Cálculo" dataDxfId="178"/>
    <tableColumn id="4" name="Memória de Cálculo" dataDxfId="177"/>
  </tableColumns>
  <tableStyleInfo name="TableStyleLight18" showFirstColumn="0" showLastColumn="0" showRowStripes="1" showColumnStripes="0"/>
</table>
</file>

<file path=xl/tables/table71.xml><?xml version="1.0" encoding="utf-8"?>
<table xmlns="http://schemas.openxmlformats.org/spreadsheetml/2006/main" id="96" name="Table842377197" displayName="Table842377197" ref="A79:D85" totalsRowShown="0">
  <autoFilter ref="A79:D85">
    <filterColumn colId="0" hiddenButton="1"/>
    <filterColumn colId="1" hiddenButton="1"/>
    <filterColumn colId="2" hiddenButton="1"/>
    <filterColumn colId="3" hiddenButton="1"/>
  </autoFilter>
  <tableColumns count="4">
    <tableColumn id="1" name="Item" dataDxfId="176"/>
    <tableColumn id="2" name="Rubrica" dataDxfId="175"/>
    <tableColumn id="3" name="Base de Cálculo" dataDxfId="174"/>
    <tableColumn id="4" name="Memória de Cálculo" dataDxfId="173"/>
  </tableColumns>
  <tableStyleInfo name="TableStyleLight18" showFirstColumn="0" showLastColumn="0" showRowStripes="1" showColumnStripes="0"/>
</table>
</file>

<file path=xl/tables/table72.xml><?xml version="1.0" encoding="utf-8"?>
<table xmlns="http://schemas.openxmlformats.org/spreadsheetml/2006/main" id="97" name="Table842387298" displayName="Table842387298" ref="A99:D102" totalsRowShown="0">
  <autoFilter ref="A99:D102">
    <filterColumn colId="0" hiddenButton="1"/>
    <filterColumn colId="1" hiddenButton="1"/>
    <filterColumn colId="2" hiddenButton="1"/>
    <filterColumn colId="3" hiddenButton="1"/>
  </autoFilter>
  <tableColumns count="4">
    <tableColumn id="1" name="Item" dataDxfId="172"/>
    <tableColumn id="2" name="Rubrica" dataDxfId="171"/>
    <tableColumn id="3" name="Base de Cálculo" dataDxfId="170"/>
    <tableColumn id="4" name="Memória de Cálculo" dataDxfId="169"/>
  </tableColumns>
  <tableStyleInfo name="TableStyleLight18" showFirstColumn="0" showLastColumn="0" showRowStripes="1" showColumnStripes="0"/>
</table>
</file>

<file path=xl/tables/table73.xml><?xml version="1.0" encoding="utf-8"?>
<table xmlns="http://schemas.openxmlformats.org/spreadsheetml/2006/main" id="98" name="Table84238517399" displayName="Table84238517399" ref="A124:D128" totalsRowShown="0">
  <autoFilter ref="A124:D128">
    <filterColumn colId="0" hiddenButton="1"/>
    <filterColumn colId="1" hiddenButton="1"/>
    <filterColumn colId="2" hiddenButton="1"/>
    <filterColumn colId="3" hiddenButton="1"/>
  </autoFilter>
  <tableColumns count="4">
    <tableColumn id="1" name="Item" dataDxfId="168"/>
    <tableColumn id="2" name="Rubrica" dataDxfId="167"/>
    <tableColumn id="3" name="Base de Cálculo" dataDxfId="166"/>
    <tableColumn id="4" name="Memória de Cálculo" dataDxfId="165"/>
  </tableColumns>
  <tableStyleInfo name="TableStyleLight18" showFirstColumn="0" showLastColumn="0" showRowStripes="1" showColumnStripes="0"/>
</table>
</file>

<file path=xl/tables/table74.xml><?xml version="1.0" encoding="utf-8"?>
<table xmlns="http://schemas.openxmlformats.org/spreadsheetml/2006/main" id="99" name="Tabela6100" displayName="Tabela6100" ref="F23:G25" totalsRowShown="0">
  <autoFilter ref="F23:G25">
    <filterColumn colId="0" hiddenButton="1"/>
    <filterColumn colId="1" hiddenButton="1"/>
  </autoFilter>
  <tableColumns count="2">
    <tableColumn id="1" name="Descrição"/>
    <tableColumn id="2" name="Valor" dataDxfId="164">
      <calculatedColumnFormula>((D16*(1+(1/3))*(100%+C40))/12)/30</calculatedColumnFormula>
    </tableColumn>
  </tableColumns>
  <tableStyleInfo name="TableStyleMedium14" showFirstColumn="0" showLastColumn="0" showRowStripes="1" showColumnStripes="0"/>
</table>
</file>

<file path=xl/tables/table75.xml><?xml version="1.0" encoding="utf-8"?>
<table xmlns="http://schemas.openxmlformats.org/spreadsheetml/2006/main" id="153" name="Submódulo2.388_76137142154" displayName="Submódulo2.388_76137142154" ref="A43:D49" totalsRowCount="1">
  <autoFilter ref="A43:D48"/>
  <tableColumns count="4">
    <tableColumn id="1" name="2.3" totalsRowLabel="Total" dataDxfId="163" totalsRowDxfId="52"/>
    <tableColumn id="2" name="Benefícios Mensais e Diários" dataDxfId="162"/>
    <tableColumn id="3" name="Comentário" dataDxfId="161"/>
    <tableColumn id="4" name="Valor" totalsRowDxfId="51"/>
  </tableColumns>
  <tableStyleInfo name="TableStyleMedium14" showFirstColumn="0" showLastColumn="0" showRowStripes="1" showColumnStripes="0"/>
</table>
</file>

<file path=xl/tables/table76.xml><?xml version="1.0" encoding="utf-8"?>
<table xmlns="http://schemas.openxmlformats.org/spreadsheetml/2006/main" id="154" name="Módulo32410_102139140155" displayName="Módulo32410_102139140155" ref="A59:D66" totalsRowCount="1">
  <autoFilter ref="A59:D65"/>
  <tableColumns count="4">
    <tableColumn id="1" name="3" totalsRowLabel="Total" dataDxfId="160" totalsRowDxfId="20"/>
    <tableColumn id="2" name="Provisão para Rescisão" dataDxfId="159"/>
    <tableColumn id="3" name="Comentário" dataDxfId="158"/>
    <tableColumn id="4" name="Valor" totalsRowFunction="custom" totalsRowDxfId="19">
      <calculatedColumnFormula>TRUNC(($D$17*C60),2)</calculatedColumnFormula>
      <totalsRowFormula>TRUNC(SUM(D60:D65),2)</totalsRowFormula>
    </tableColumn>
  </tableColumns>
  <tableStyleInfo name="TableStyleMedium14" showFirstColumn="0" showLastColumn="0" showRowStripes="1" showColumnStripes="0"/>
</table>
</file>

<file path=xl/tables/table77.xml><?xml version="1.0" encoding="utf-8"?>
<table xmlns="http://schemas.openxmlformats.org/spreadsheetml/2006/main" id="155" name="ResumoMódulo299_101138141156" displayName="ResumoMódulo299_101138141156" ref="A52:D56" totalsRowCount="1">
  <autoFilter ref="A52:D55"/>
  <tableColumns count="4">
    <tableColumn id="1" name="2" totalsRowLabel="Total" dataDxfId="157"/>
    <tableColumn id="2" name="Encargos e Benefícios Anuais, Mensais e Diários" dataDxfId="156"/>
    <tableColumn id="3" name="Comentário" dataDxfId="155"/>
    <tableColumn id="4" name="Valor" totalsRowFunction="custom">
      <calculatedColumnFormula>D47</calculatedColumnFormula>
      <totalsRowFormula>TRUNC(SUM(D53:D55),2)</totalsRowFormula>
    </tableColumn>
  </tableColumns>
  <tableStyleInfo name="TableStyleMedium14" showFirstColumn="0" showLastColumn="0" showRowStripes="1" showColumnStripes="0"/>
</table>
</file>

<file path=xl/tables/table78.xml><?xml version="1.0" encoding="utf-8"?>
<table xmlns="http://schemas.openxmlformats.org/spreadsheetml/2006/main" id="156" name="Table42522_50133145157" displayName="Table42522_50133145157" ref="A2:D7" totalsRowShown="0">
  <tableColumns count="4">
    <tableColumn id="1" name="Item" dataDxfId="154"/>
    <tableColumn id="2" name="Descrição" dataDxfId="153"/>
    <tableColumn id="3" name="Comentário" dataDxfId="152"/>
    <tableColumn id="4" name="Valor" dataDxfId="151"/>
  </tableColumns>
  <tableStyleInfo name="TableStyleMedium14" showFirstColumn="0" showLastColumn="0" showRowStripes="1" showColumnStripes="0"/>
</table>
</file>

<file path=xl/tables/table79.xml><?xml version="1.0" encoding="utf-8"?>
<table xmlns="http://schemas.openxmlformats.org/spreadsheetml/2006/main" id="157" name="Submódulo4.22612_31129147158" displayName="Submódulo4.22612_31129147158" ref="A85:D87" totalsRowCount="1">
  <autoFilter ref="A85:D86"/>
  <tableColumns count="4">
    <tableColumn id="1" name="4.2" totalsRowLabel="Total" dataDxfId="150"/>
    <tableColumn id="2" name="Substituto na Intrajornada " dataDxfId="149"/>
    <tableColumn id="3" name="Comentário" dataDxfId="148"/>
    <tableColumn id="4" name="Valor" totalsRowFunction="sum" dataDxfId="147"/>
  </tableColumns>
  <tableStyleInfo name="TableStyleMedium14" showFirstColumn="0" showLastColumn="0" showRowStripes="1" showColumnStripes="0"/>
</table>
</file>

<file path=xl/tables/table8.xml><?xml version="1.0" encoding="utf-8"?>
<table xmlns="http://schemas.openxmlformats.org/spreadsheetml/2006/main" id="58" name="Submódulo4.125" displayName="Submódulo4.125" ref="A89:D96" totalsRowCount="1">
  <autoFilter ref="A89:D95">
    <filterColumn colId="0" hiddenButton="1"/>
    <filterColumn colId="1" hiddenButton="1"/>
    <filterColumn colId="2" hiddenButton="1"/>
    <filterColumn colId="3" hiddenButton="1"/>
  </autoFilter>
  <tableColumns count="4">
    <tableColumn id="1" name="4.1" totalsRowLabel="Total" dataDxfId="385"/>
    <tableColumn id="2" name="Substituto nas Ausências Legais" dataDxfId="384"/>
    <tableColumn id="3" name="Dias de ausência" totalsRowFunction="sum" dataDxfId="383"/>
    <tableColumn id="4" name="Valor" totalsRowFunction="sum" dataDxfId="382">
      <calculatedColumnFormula>(C90*G$24)/12</calculatedColumnFormula>
    </tableColumn>
  </tableColumns>
  <tableStyleInfo name="TableStyleMedium14" showFirstColumn="0" showLastColumn="0" showRowStripes="1" showColumnStripes="0"/>
</table>
</file>

<file path=xl/tables/table80.xml><?xml version="1.0" encoding="utf-8"?>
<table xmlns="http://schemas.openxmlformats.org/spreadsheetml/2006/main" id="158" name="Submódulo4.12511_4132144159" displayName="Submódulo4.12511_4132144159" ref="A75:D82" totalsRowCount="1">
  <autoFilter ref="A75:D81"/>
  <tableColumns count="4">
    <tableColumn id="1" name="4.1" totalsRowLabel="Total" dataDxfId="146" totalsRowDxfId="18"/>
    <tableColumn id="2" name="Substituto nas Ausências Legais" dataDxfId="145"/>
    <tableColumn id="3" name="Dias de ausência" totalsRowFunction="sum" dataDxfId="144" totalsRowDxfId="17" dataCellStyle="Porcentagem"/>
    <tableColumn id="4" name="Valor" totalsRowFunction="custom" totalsRowDxfId="16">
      <calculatedColumnFormula>TRUNC(($D$71*C76),2)</calculatedColumnFormula>
      <totalsRowFormula>TRUNC(SUM(D76:D81),2)</totalsRowFormula>
    </tableColumn>
  </tableColumns>
  <tableStyleInfo name="TableStyleMedium14" showFirstColumn="0" showLastColumn="0" showRowStripes="1" showColumnStripes="0"/>
</table>
</file>

<file path=xl/tables/table81.xml><?xml version="1.0" encoding="utf-8"?>
<table xmlns="http://schemas.openxmlformats.org/spreadsheetml/2006/main" id="159" name="Submódulo2.146_74135143160" displayName="Submódulo2.146_74135143160" ref="A21:D24" totalsRowCount="1">
  <autoFilter ref="A21:D23"/>
  <tableColumns count="4">
    <tableColumn id="1" name="2.1" totalsRowLabel="Total" dataDxfId="143"/>
    <tableColumn id="2" name="13º (décimo terceiro) Salário e Adicional de Férias" dataDxfId="142"/>
    <tableColumn id="3" name="Comentário" dataDxfId="141">
      <calculatedColumnFormula>(((1+1/3)/12))</calculatedColumnFormula>
    </tableColumn>
    <tableColumn id="4" name="Valor" totalsRowFunction="custom">
      <calculatedColumnFormula>TRUNC($D$17*C22,2)</calculatedColumnFormula>
      <totalsRowFormula>TRUNC(SUM(D22:D23),2)</totalsRowFormula>
    </tableColumn>
  </tableColumns>
  <tableStyleInfo name="TableStyleMedium14" showFirstColumn="0" showLastColumn="0" showRowStripes="1" showColumnStripes="0"/>
</table>
</file>

<file path=xl/tables/table82.xml><?xml version="1.0" encoding="utf-8"?>
<table xmlns="http://schemas.openxmlformats.org/spreadsheetml/2006/main" id="160" name="Módulo135_51134146161" displayName="Módulo135_51134146161" ref="A10:D17" totalsRowCount="1">
  <autoFilter ref="A10:D16"/>
  <tableColumns count="4">
    <tableColumn id="1" name="1" totalsRowLabel="Total" dataDxfId="140"/>
    <tableColumn id="2" name="Composição da Remuneração" dataDxfId="139"/>
    <tableColumn id="3" name="Comentário" dataDxfId="138"/>
    <tableColumn id="4" name="Valor" totalsRowFunction="custom">
      <totalsRowFormula>TRUNC(SUM(D11:D16),2)</totalsRowFormula>
    </tableColumn>
  </tableColumns>
  <tableStyleInfo name="TableStyleMedium14" showFirstColumn="0" showLastColumn="0" showRowStripes="1" showColumnStripes="0"/>
</table>
</file>

<file path=xl/tables/table83.xml><?xml version="1.0" encoding="utf-8"?>
<table xmlns="http://schemas.openxmlformats.org/spreadsheetml/2006/main" id="161" name="ResumoMódulo42713_30130148162" displayName="ResumoMódulo42713_30130148162" ref="A90:D93" totalsRowCount="1">
  <autoFilter ref="A90:D92"/>
  <tableColumns count="4">
    <tableColumn id="1" name="4" totalsRowLabel="Total" dataDxfId="137"/>
    <tableColumn id="2" name="Custo de Reposição do Profissional Ausente" dataDxfId="136"/>
    <tableColumn id="3" name="Comentário" dataDxfId="135"/>
    <tableColumn id="4" name="Valor" totalsRowFunction="custom">
      <calculatedColumnFormula>Submódulo4.22612_31129147158[[#Totals],[Valor]]</calculatedColumnFormula>
      <totalsRowFormula>TRUNC(SUM(D91:D92),2)</totalsRowFormula>
    </tableColumn>
  </tableColumns>
  <tableStyleInfo name="TableStyleMedium14" showFirstColumn="0" showLastColumn="0" showRowStripes="1" showColumnStripes="0"/>
</table>
</file>

<file path=xl/tables/table84.xml><?xml version="1.0" encoding="utf-8"?>
<table xmlns="http://schemas.openxmlformats.org/spreadsheetml/2006/main" id="162" name="Submódulo2.267_75136149163" displayName="Submódulo2.267_75136149163" ref="A31:D40" totalsRowCount="1">
  <autoFilter ref="A31:D39"/>
  <tableColumns count="4">
    <tableColumn id="1" name="2.2" totalsRowLabel="Total" dataDxfId="134"/>
    <tableColumn id="2" name="GPS, FGTS e outras contribuições" dataDxfId="133"/>
    <tableColumn id="3" name="Percentual" totalsRowFunction="sum" dataDxfId="132"/>
    <tableColumn id="4" name="Valor " totalsRowFunction="custom">
      <calculatedColumnFormula>TRUNC(($D$28*C32),2)</calculatedColumnFormula>
      <totalsRowFormula>TRUNC(SUM(D32:D39),2)</totalsRowFormula>
    </tableColumn>
  </tableColumns>
  <tableStyleInfo name="TableStyleMedium14" showFirstColumn="0" showLastColumn="0" showRowStripes="1" showColumnStripes="0"/>
</table>
</file>

<file path=xl/tables/table85.xml><?xml version="1.0" encoding="utf-8"?>
<table xmlns="http://schemas.openxmlformats.org/spreadsheetml/2006/main" id="163" name="ResumoPosto3016_33127152164" displayName="ResumoPosto3016_33127152164" ref="A121:D129">
  <autoFilter ref="A121:D129"/>
  <tableColumns count="4">
    <tableColumn id="1" name="Item" totalsRowLabel="Total" dataDxfId="131"/>
    <tableColumn id="2" name="Mão de obra vinculada à execução contratual" dataDxfId="130"/>
    <tableColumn id="3" name="-" dataDxfId="129"/>
    <tableColumn id="4" name="Valor" totalsRowFunction="sum" dataDxfId="128">
      <calculatedColumnFormula>TRUNC((SUM(D115:D119)+D121),2)</calculatedColumnFormula>
    </tableColumn>
  </tableColumns>
  <tableStyleInfo name="TableStyleMedium14" showFirstColumn="0" showLastColumn="0" showRowStripes="1" showColumnStripes="0"/>
</table>
</file>

<file path=xl/tables/table86.xml><?xml version="1.0" encoding="utf-8"?>
<table xmlns="http://schemas.openxmlformats.org/spreadsheetml/2006/main" id="164" name="Módulo62915_34128151165" displayName="Módulo62915_34128151165" ref="A111:D118" totalsRowCount="1">
  <tableColumns count="4">
    <tableColumn id="1" name="6" totalsRowLabel="Total" dataDxfId="127" totalsRowDxfId="15"/>
    <tableColumn id="2" name="Custos Indiretos, Tributos e Lucro" dataDxfId="126"/>
    <tableColumn id="3" name="Percentual" dataDxfId="125" totalsRowDxfId="14"/>
    <tableColumn id="4" name="Valor" totalsRowFunction="custom" totalsRowDxfId="13">
      <calculatedColumnFormula>TRUNC(($G$114*C112),2)</calculatedColumnFormula>
      <totalsRowFormula>TRUNC(SUM(D112:D114),2)</totalsRowFormula>
    </tableColumn>
  </tableColumns>
  <tableStyleInfo name="TableStyleMedium14" showFirstColumn="0" showLastColumn="0" showRowStripes="1" showColumnStripes="0"/>
</table>
</file>

<file path=xl/tables/table87.xml><?xml version="1.0" encoding="utf-8"?>
<table xmlns="http://schemas.openxmlformats.org/spreadsheetml/2006/main" id="165" name="DadosGerais3117_35131150166" displayName="DadosGerais3117_35131150166" ref="F2:G6" totalsRowShown="0">
  <autoFilter ref="F2:G6"/>
  <tableColumns count="2">
    <tableColumn id="1" name="Descrição" dataDxfId="124"/>
    <tableColumn id="2" name="Valor" dataDxfId="123"/>
  </tableColumns>
  <tableStyleInfo name="TableStyleMedium14" showFirstColumn="0" showLastColumn="0" showRowStripes="1" showColumnStripes="0"/>
</table>
</file>

<file path=xl/tables/table88.xml><?xml version="1.0" encoding="utf-8"?>
<table xmlns="http://schemas.openxmlformats.org/spreadsheetml/2006/main" id="166" name="Módulo52814_32126153167" displayName="Módulo52814_32126153167" ref="A96:D101" totalsRowCount="1">
  <autoFilter ref="A96:D100"/>
  <tableColumns count="4">
    <tableColumn id="1" name="5" totalsRowLabel="Total" dataDxfId="122" totalsRowDxfId="50"/>
    <tableColumn id="2" name="Insumos Diversos" dataDxfId="121"/>
    <tableColumn id="3" name="Comentário" dataDxfId="120"/>
    <tableColumn id="4" name="Valor" totalsRowDxfId="49"/>
  </tableColumns>
  <tableStyleInfo name="TableStyleMedium14" showFirstColumn="0" showLastColumn="0" showRowStripes="1" showColumnStripes="0"/>
</table>
</file>

<file path=xl/tables/table89.xml><?xml version="1.0" encoding="utf-8"?>
<table xmlns="http://schemas.openxmlformats.org/spreadsheetml/2006/main" id="42" name="Table43" displayName="Table43" ref="A9:H14" totalsRowCount="1">
  <autoFilter ref="A9:H13">
    <filterColumn colId="0" hiddenButton="1"/>
    <filterColumn colId="1" hiddenButton="1"/>
    <filterColumn colId="2" hiddenButton="1"/>
    <filterColumn colId="3" hiddenButton="1"/>
    <filterColumn colId="4" hiddenButton="1"/>
    <filterColumn colId="5" hiddenButton="1"/>
    <filterColumn colId="6" hiddenButton="1"/>
  </autoFilter>
  <tableColumns count="8">
    <tableColumn id="1" name="Item" totalsRowLabel="Total" dataDxfId="119"/>
    <tableColumn id="2" name="Peça" dataDxfId="118"/>
    <tableColumn id="3" name="Descrição" dataDxfId="117"/>
    <tableColumn id="4" name="UNIDADE" dataDxfId="116"/>
    <tableColumn id="5" name="Valor Médio Unitário (R$)" dataDxfId="115"/>
    <tableColumn id="6" name="Quant. Anual" dataDxfId="114"/>
    <tableColumn id="7" name="Valor Anual/ Empregado (R$)" dataDxfId="113">
      <calculatedColumnFormula>TRUNC(F10*E10,2)</calculatedColumnFormula>
    </tableColumn>
    <tableColumn id="8" name="Valor Mensal/ Empregado" totalsRowFunction="custom">
      <calculatedColumnFormula>TRUNC(G10/12,2)</calculatedColumnFormula>
      <totalsRowFormula>TRUNC(SUM(H10:H13),2)</totalsRowFormula>
    </tableColumn>
  </tableColumns>
  <tableStyleInfo name="TableStyleMedium14" showFirstColumn="0" showLastColumn="0" showRowStripes="1" showColumnStripes="0"/>
</table>
</file>

<file path=xl/tables/table9.xml><?xml version="1.0" encoding="utf-8"?>
<table xmlns="http://schemas.openxmlformats.org/spreadsheetml/2006/main" id="59" name="Submódulo4.226" displayName="Submódulo4.226" ref="A105:D107" totalsRowCount="1">
  <autoFilter ref="A105:D106">
    <filterColumn colId="0" hiddenButton="1"/>
    <filterColumn colId="1" hiddenButton="1"/>
    <filterColumn colId="2" hiddenButton="1"/>
    <filterColumn colId="3" hiddenButton="1"/>
  </autoFilter>
  <tableColumns count="4">
    <tableColumn id="1" name="4.2" totalsRowLabel="Total" dataDxfId="381"/>
    <tableColumn id="2" name="Substituto na Intrajornada " dataDxfId="380"/>
    <tableColumn id="3" name="Comentário" dataDxfId="379"/>
    <tableColumn id="4" name="Valor" totalsRowFunction="sum" dataDxfId="378"/>
  </tableColumns>
  <tableStyleInfo name="TableStyleMedium14" showFirstColumn="0" showLastColumn="0" showRowStripes="1" showColumnStripes="0"/>
</table>
</file>

<file path=xl/tables/table90.xml><?xml version="1.0" encoding="utf-8"?>
<table xmlns="http://schemas.openxmlformats.org/spreadsheetml/2006/main" id="43" name="Table4344" displayName="Table4344" ref="A17:G22" totalsRowCount="1">
  <autoFilter ref="A17:G2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Item" totalsRowLabel="Total" dataDxfId="112"/>
    <tableColumn id="2" name="Peça" dataDxfId="111"/>
    <tableColumn id="3" name="Descrição" dataDxfId="110"/>
    <tableColumn id="4" name="Valor Médio Unitário (R$)" dataDxfId="109"/>
    <tableColumn id="5" name="Quant. Anual" dataDxfId="108"/>
    <tableColumn id="6" name="Valor Anual/ Empregado (R$)" dataDxfId="107">
      <calculatedColumnFormula>Table4344[[#This Row],[Valor Médio Unitário (R$)]]*Table4344[[#This Row],[Quant. Anual]]</calculatedColumnFormula>
    </tableColumn>
    <tableColumn id="7" name="Valor Mensal/ Empregado" totalsRowFunction="sum" dataDxfId="106">
      <calculatedColumnFormula>Table4344[[#This Row],[Valor Anual/ Empregado (R$)]]/12</calculatedColumnFormula>
    </tableColumn>
  </tableColumns>
  <tableStyleInfo name="TableStyleMedium14" showFirstColumn="0" showLastColumn="0" showRowStripes="1" showColumnStripes="0"/>
</table>
</file>

<file path=xl/tables/table91.xml><?xml version="1.0" encoding="utf-8"?>
<table xmlns="http://schemas.openxmlformats.org/spreadsheetml/2006/main" id="45" name="Table45" displayName="Table45" ref="A25:H30" totalsRowCount="1">
  <autoFilter ref="A25:H29">
    <filterColumn colId="0" hiddenButton="1"/>
    <filterColumn colId="1" hiddenButton="1"/>
    <filterColumn colId="2" hiddenButton="1"/>
    <filterColumn colId="3" hiddenButton="1"/>
    <filterColumn colId="4" hiddenButton="1"/>
    <filterColumn colId="5" hiddenButton="1"/>
    <filterColumn colId="6" hiddenButton="1"/>
  </autoFilter>
  <tableColumns count="8">
    <tableColumn id="1" name="Item" totalsRowLabel="Total" dataDxfId="105"/>
    <tableColumn id="2" name="Descrição" dataDxfId="104"/>
    <tableColumn id="3" name="Unidade" dataDxfId="103" totalsRowDxfId="28"/>
    <tableColumn id="4" name="UNIDADE2" dataDxfId="102"/>
    <tableColumn id="5" name="Valor Médio Unitário (R$)" dataDxfId="101" totalsRowDxfId="27"/>
    <tableColumn id="6" name="Quant. Anual" dataDxfId="100" totalsRowDxfId="26"/>
    <tableColumn id="7" name="Valor Total Anual (R$)" dataDxfId="99" totalsRowDxfId="25">
      <calculatedColumnFormula>TRUNC(F26*E26,2)</calculatedColumnFormula>
    </tableColumn>
    <tableColumn id="8" name="Valor Total Mensal (R$)" totalsRowFunction="custom" totalsRowDxfId="24">
      <calculatedColumnFormula>TRUNC(G26/12,2)</calculatedColumnFormula>
      <totalsRowFormula>TRUNC(SUM(H26:H29),2)</totalsRowFormula>
    </tableColumn>
  </tableColumns>
  <tableStyleInfo name="TableStyleMedium14" showFirstColumn="0" showLastColumn="0" showRowStripes="1" showColumnStripes="0"/>
</table>
</file>

<file path=xl/tables/table92.xml><?xml version="1.0" encoding="utf-8"?>
<table xmlns="http://schemas.openxmlformats.org/spreadsheetml/2006/main" id="167" name="Table43_168" displayName="Table43_168" ref="A2:H7" totalsRowCount="1">
  <autoFilter ref="A2:H6"/>
  <tableColumns count="8">
    <tableColumn id="1" name="Item" totalsRowLabel="Total" dataDxfId="98"/>
    <tableColumn id="2" name="Peça" dataDxfId="97"/>
    <tableColumn id="3" name="Descrição" dataDxfId="96"/>
    <tableColumn id="4" name="Unidade" dataDxfId="95"/>
    <tableColumn id="5" name="Valor Médio Unitário (R$)" dataDxfId="94"/>
    <tableColumn id="6" name="Quant. Anual" dataDxfId="93"/>
    <tableColumn id="7" name="Valor Anual/ Empregado (R$)" dataDxfId="92">
      <calculatedColumnFormula>TRUNC(F3*E3,2)</calculatedColumnFormula>
    </tableColumn>
    <tableColumn id="8" name="Valor Mensal/ Empregado" totalsRowFunction="custom">
      <calculatedColumnFormula>TRUNC(G3/12,2)</calculatedColumnFormula>
      <totalsRowFormula>TRUNC(SUM(H3:H6),2)</totalsRowFormula>
    </tableColumn>
  </tableColumns>
  <tableStyleInfo name="TableStyleMedium14" showFirstColumn="0" showLastColumn="0" showRowStripes="1" showColumnStripes="0"/>
</table>
</file>

<file path=xl/tables/table93.xml><?xml version="1.0" encoding="utf-8"?>
<table xmlns="http://schemas.openxmlformats.org/spreadsheetml/2006/main" id="44" name="Table44" displayName="Table44" ref="A2:F33" totalsRowCount="1">
  <autoFilter ref="A2:F32">
    <filterColumn colId="0" hiddenButton="1"/>
    <filterColumn colId="1" hiddenButton="1"/>
    <filterColumn colId="2" hiddenButton="1"/>
    <filterColumn colId="3" hiddenButton="1"/>
    <filterColumn colId="4" hiddenButton="1"/>
    <filterColumn colId="5" hiddenButton="1"/>
  </autoFilter>
  <tableColumns count="6">
    <tableColumn id="1" name="Item" totalsRowLabel="Total" dataDxfId="91" totalsRowDxfId="48"/>
    <tableColumn id="2" name="Descrição" dataDxfId="90" totalsRowDxfId="47"/>
    <tableColumn id="3" name="Unidade" dataDxfId="89" totalsRowDxfId="46"/>
    <tableColumn id="4" name="Valor Médio Unitário" dataDxfId="88" totalsRowDxfId="45"/>
    <tableColumn id="5" name="Quant." dataDxfId="87" totalsRowDxfId="44"/>
    <tableColumn id="6" name="Valor Total (R$)" totalsRowFunction="custom" totalsRowDxfId="43">
      <calculatedColumnFormula>TRUNC(E3*D3,2)</calculatedColumnFormula>
      <totalsRowFormula>TRUNC(SUM(F3:F32),2)</totalsRowFormula>
    </tableColumn>
  </tableColumns>
  <tableStyleInfo name="TableStyleMedium14" showFirstColumn="0" showLastColumn="0" showRowStripes="1" showColumnStripes="0"/>
</table>
</file>

<file path=xl/tables/table94.xml><?xml version="1.0" encoding="utf-8"?>
<table xmlns="http://schemas.openxmlformats.org/spreadsheetml/2006/main" id="46" name="Table46" displayName="Table46" ref="A3:F53">
  <tableColumns count="6">
    <tableColumn id="1" name="Item" totalsRowLabel="46" dataDxfId="86"/>
    <tableColumn id="2" name="Descrição" totalsRowLabel="Refil para saboneteira em ABS ALTO IMPACTO para Álcool Gel ou Sabonete Líquido em Sachê ou Refil 5-J7AI" dataDxfId="85"/>
    <tableColumn id="3" name="Unidade" dataDxfId="84"/>
    <tableColumn id="4" name="  Valor Médio Unitário (R$) " dataDxfId="83"/>
    <tableColumn id="5" name="QuantidadeMensal" dataDxfId="82"/>
    <tableColumn id="6" name="Valor Total Mensal (R$)" dataDxfId="81"/>
  </tableColumns>
  <tableStyleInfo name="TableStyleMedium14" showFirstColumn="0" showLastColumn="0" showRowStripes="1" showColumnStripes="0"/>
</table>
</file>

<file path=xl/tables/table95.xml><?xml version="1.0" encoding="utf-8"?>
<table xmlns="http://schemas.openxmlformats.org/spreadsheetml/2006/main" id="2" name="QuadroAmbientes" displayName="QuadroAmbientes" ref="A2:D43" totalsRowShown="0">
  <autoFilter ref="A2:D43">
    <filterColumn colId="0" hiddenButton="1"/>
    <filterColumn colId="1" hiddenButton="1"/>
    <filterColumn colId="2" hiddenButton="1"/>
    <filterColumn colId="3" hiddenButton="1"/>
  </autoFilter>
  <tableColumns count="4">
    <tableColumn id="1" name="Item" dataDxfId="80"/>
    <tableColumn id="2" name="Descrição" dataDxfId="79"/>
    <tableColumn id="3" name="Tipo de Área" dataDxfId="78"/>
    <tableColumn id="4" name="Metragem (m²)" dataDxfId="77"/>
  </tableColumns>
  <tableStyleInfo name="TableStyleMedium14" showFirstColumn="0" showLastColumn="0" showRowStripes="1" showColumnStripes="0"/>
</table>
</file>

<file path=xl/tables/table96.xml><?xml version="1.0" encoding="utf-8"?>
<table xmlns="http://schemas.openxmlformats.org/spreadsheetml/2006/main" id="27" name="Table328" displayName="Table328" ref="A2:N20" totalsRowCount="1">
  <tableColumns count="14">
    <tableColumn id="1" name="Descrição" totalsRowLabel="Total" dataDxfId="76" totalsRowDxfId="42"/>
    <tableColumn id="2" name="Tipo" dataDxfId="75" totalsRowDxfId="41"/>
    <tableColumn id="3" name="Quantidade" dataDxfId="74" totalsRowDxfId="40"/>
    <tableColumn id="4" name="Frequência no mês/semestre" dataDxfId="73" totalsRowDxfId="39"/>
    <tableColumn id="5" name="Jornada de Trabalho no mês/Semestre" dataDxfId="72" totalsRowDxfId="38"/>
    <tableColumn id="6" name="Produtividade Mínima" dataDxfId="71" totalsRowDxfId="37"/>
    <tableColumn id="7" name="Produtividade Máxima" dataDxfId="70" totalsRowDxfId="36"/>
    <tableColumn id="8" name="Produtividade Média" dataDxfId="69" totalsRowDxfId="35"/>
    <tableColumn id="9" name="Produtividade Personalizada" dataDxfId="68" totalsRowDxfId="34"/>
    <tableColumn id="10" name="Ki" dataDxfId="67" totalsRowDxfId="33"/>
    <tableColumn id="11" name="Qtde. Serventes" totalsRowFunction="sum" dataDxfId="66" totalsRowDxfId="32"/>
    <tableColumn id="12" name="Ki ajustado" totalsRowFunction="custom" totalsRowDxfId="31">
      <totalsRowFormula>ROUND(K20,0)</totalsRowFormula>
    </tableColumn>
    <tableColumn id="13" name="Qte ajustada" totalsRowFunction="sum" dataDxfId="65" totalsRowDxfId="30"/>
    <tableColumn id="14" name="Produtividade ajustada" dataDxfId="64" totalsRowDxfId="29"/>
  </tableColumns>
  <tableStyleInfo name="TableStyleMedium14" showFirstColumn="0"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table" Target="../tables/table2.xml"/><Relationship Id="rId21" Type="http://schemas.openxmlformats.org/officeDocument/2006/relationships/table" Target="../tables/table20.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comments" Target="../comments1.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1" Type="http://schemas.openxmlformats.org/officeDocument/2006/relationships/vmlDrawing" Target="../drawings/vmlDrawing1.vml"/><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table" Target="../tables/table96.xml"/><Relationship Id="rId1" Type="http://schemas.openxmlformats.org/officeDocument/2006/relationships/vmlDrawing" Target="../drawings/vmlDrawing6.vml"/></Relationships>
</file>

<file path=xl/worksheets/_rels/sheet2.xml.rels><?xml version="1.0" encoding="UTF-8" standalone="yes"?>
<Relationships xmlns="http://schemas.openxmlformats.org/package/2006/relationships"><Relationship Id="rId8" Type="http://schemas.openxmlformats.org/officeDocument/2006/relationships/table" Target="../tables/table30.xml"/><Relationship Id="rId13" Type="http://schemas.openxmlformats.org/officeDocument/2006/relationships/table" Target="../tables/table35.xml"/><Relationship Id="rId3" Type="http://schemas.openxmlformats.org/officeDocument/2006/relationships/table" Target="../tables/table25.xml"/><Relationship Id="rId7" Type="http://schemas.openxmlformats.org/officeDocument/2006/relationships/table" Target="../tables/table29.xml"/><Relationship Id="rId12" Type="http://schemas.openxmlformats.org/officeDocument/2006/relationships/table" Target="../tables/table34.xml"/><Relationship Id="rId2" Type="http://schemas.openxmlformats.org/officeDocument/2006/relationships/table" Target="../tables/table24.xml"/><Relationship Id="rId16" Type="http://schemas.openxmlformats.org/officeDocument/2006/relationships/comments" Target="../comments2.xml"/><Relationship Id="rId1" Type="http://schemas.openxmlformats.org/officeDocument/2006/relationships/vmlDrawing" Target="../drawings/vmlDrawing2.vml"/><Relationship Id="rId6" Type="http://schemas.openxmlformats.org/officeDocument/2006/relationships/table" Target="../tables/table28.xml"/><Relationship Id="rId11" Type="http://schemas.openxmlformats.org/officeDocument/2006/relationships/table" Target="../tables/table33.xml"/><Relationship Id="rId5" Type="http://schemas.openxmlformats.org/officeDocument/2006/relationships/table" Target="../tables/table27.xml"/><Relationship Id="rId15" Type="http://schemas.openxmlformats.org/officeDocument/2006/relationships/table" Target="../tables/table37.xml"/><Relationship Id="rId10" Type="http://schemas.openxmlformats.org/officeDocument/2006/relationships/table" Target="../tables/table32.xml"/><Relationship Id="rId4" Type="http://schemas.openxmlformats.org/officeDocument/2006/relationships/table" Target="../tables/table26.xml"/><Relationship Id="rId9" Type="http://schemas.openxmlformats.org/officeDocument/2006/relationships/table" Target="../tables/table31.xml"/><Relationship Id="rId14" Type="http://schemas.openxmlformats.org/officeDocument/2006/relationships/table" Target="../tables/table36.xml"/></Relationships>
</file>

<file path=xl/worksheets/_rels/sheet3.xml.rels><?xml version="1.0" encoding="UTF-8" standalone="yes"?>
<Relationships xmlns="http://schemas.openxmlformats.org/package/2006/relationships"><Relationship Id="rId8" Type="http://schemas.openxmlformats.org/officeDocument/2006/relationships/table" Target="../tables/table44.xml"/><Relationship Id="rId13" Type="http://schemas.openxmlformats.org/officeDocument/2006/relationships/table" Target="../tables/table49.xml"/><Relationship Id="rId3" Type="http://schemas.openxmlformats.org/officeDocument/2006/relationships/table" Target="../tables/table39.xml"/><Relationship Id="rId7" Type="http://schemas.openxmlformats.org/officeDocument/2006/relationships/table" Target="../tables/table43.xml"/><Relationship Id="rId12" Type="http://schemas.openxmlformats.org/officeDocument/2006/relationships/table" Target="../tables/table48.xml"/><Relationship Id="rId2" Type="http://schemas.openxmlformats.org/officeDocument/2006/relationships/table" Target="../tables/table38.xml"/><Relationship Id="rId16" Type="http://schemas.openxmlformats.org/officeDocument/2006/relationships/comments" Target="../comments3.xml"/><Relationship Id="rId1" Type="http://schemas.openxmlformats.org/officeDocument/2006/relationships/vmlDrawing" Target="../drawings/vmlDrawing3.vml"/><Relationship Id="rId6" Type="http://schemas.openxmlformats.org/officeDocument/2006/relationships/table" Target="../tables/table42.xml"/><Relationship Id="rId11" Type="http://schemas.openxmlformats.org/officeDocument/2006/relationships/table" Target="../tables/table47.xml"/><Relationship Id="rId5" Type="http://schemas.openxmlformats.org/officeDocument/2006/relationships/table" Target="../tables/table41.xml"/><Relationship Id="rId15" Type="http://schemas.openxmlformats.org/officeDocument/2006/relationships/table" Target="../tables/table51.xml"/><Relationship Id="rId10" Type="http://schemas.openxmlformats.org/officeDocument/2006/relationships/table" Target="../tables/table46.xml"/><Relationship Id="rId4" Type="http://schemas.openxmlformats.org/officeDocument/2006/relationships/table" Target="../tables/table40.xml"/><Relationship Id="rId9" Type="http://schemas.openxmlformats.org/officeDocument/2006/relationships/table" Target="../tables/table45.xml"/><Relationship Id="rId14" Type="http://schemas.openxmlformats.org/officeDocument/2006/relationships/table" Target="../tables/table50.xml"/></Relationships>
</file>

<file path=xl/worksheets/_rels/sheet4.xml.rels><?xml version="1.0" encoding="UTF-8" standalone="yes"?>
<Relationships xmlns="http://schemas.openxmlformats.org/package/2006/relationships"><Relationship Id="rId8" Type="http://schemas.openxmlformats.org/officeDocument/2006/relationships/table" Target="../tables/table58.xml"/><Relationship Id="rId13" Type="http://schemas.openxmlformats.org/officeDocument/2006/relationships/table" Target="../tables/table63.xml"/><Relationship Id="rId18" Type="http://schemas.openxmlformats.org/officeDocument/2006/relationships/table" Target="../tables/table68.xml"/><Relationship Id="rId3" Type="http://schemas.openxmlformats.org/officeDocument/2006/relationships/table" Target="../tables/table53.xml"/><Relationship Id="rId21" Type="http://schemas.openxmlformats.org/officeDocument/2006/relationships/table" Target="../tables/table71.xml"/><Relationship Id="rId7" Type="http://schemas.openxmlformats.org/officeDocument/2006/relationships/table" Target="../tables/table57.xml"/><Relationship Id="rId12" Type="http://schemas.openxmlformats.org/officeDocument/2006/relationships/table" Target="../tables/table62.xml"/><Relationship Id="rId17" Type="http://schemas.openxmlformats.org/officeDocument/2006/relationships/table" Target="../tables/table67.xml"/><Relationship Id="rId25" Type="http://schemas.openxmlformats.org/officeDocument/2006/relationships/comments" Target="../comments4.xml"/><Relationship Id="rId2" Type="http://schemas.openxmlformats.org/officeDocument/2006/relationships/table" Target="../tables/table52.xml"/><Relationship Id="rId16" Type="http://schemas.openxmlformats.org/officeDocument/2006/relationships/table" Target="../tables/table66.xml"/><Relationship Id="rId20" Type="http://schemas.openxmlformats.org/officeDocument/2006/relationships/table" Target="../tables/table70.xml"/><Relationship Id="rId1" Type="http://schemas.openxmlformats.org/officeDocument/2006/relationships/vmlDrawing" Target="../drawings/vmlDrawing4.vml"/><Relationship Id="rId6" Type="http://schemas.openxmlformats.org/officeDocument/2006/relationships/table" Target="../tables/table56.xml"/><Relationship Id="rId11" Type="http://schemas.openxmlformats.org/officeDocument/2006/relationships/table" Target="../tables/table61.xml"/><Relationship Id="rId24" Type="http://schemas.openxmlformats.org/officeDocument/2006/relationships/table" Target="../tables/table74.xml"/><Relationship Id="rId5" Type="http://schemas.openxmlformats.org/officeDocument/2006/relationships/table" Target="../tables/table55.xml"/><Relationship Id="rId15" Type="http://schemas.openxmlformats.org/officeDocument/2006/relationships/table" Target="../tables/table65.xml"/><Relationship Id="rId23" Type="http://schemas.openxmlformats.org/officeDocument/2006/relationships/table" Target="../tables/table73.xml"/><Relationship Id="rId10" Type="http://schemas.openxmlformats.org/officeDocument/2006/relationships/table" Target="../tables/table60.xml"/><Relationship Id="rId19" Type="http://schemas.openxmlformats.org/officeDocument/2006/relationships/table" Target="../tables/table69.xml"/><Relationship Id="rId4" Type="http://schemas.openxmlformats.org/officeDocument/2006/relationships/table" Target="../tables/table54.xml"/><Relationship Id="rId9" Type="http://schemas.openxmlformats.org/officeDocument/2006/relationships/table" Target="../tables/table59.xml"/><Relationship Id="rId14" Type="http://schemas.openxmlformats.org/officeDocument/2006/relationships/table" Target="../tables/table64.xml"/><Relationship Id="rId22" Type="http://schemas.openxmlformats.org/officeDocument/2006/relationships/table" Target="../tables/table72.xml"/></Relationships>
</file>

<file path=xl/worksheets/_rels/sheet5.xml.rels><?xml version="1.0" encoding="UTF-8" standalone="yes"?>
<Relationships xmlns="http://schemas.openxmlformats.org/package/2006/relationships"><Relationship Id="rId8" Type="http://schemas.openxmlformats.org/officeDocument/2006/relationships/table" Target="../tables/table81.xml"/><Relationship Id="rId13" Type="http://schemas.openxmlformats.org/officeDocument/2006/relationships/table" Target="../tables/table86.xml"/><Relationship Id="rId3" Type="http://schemas.openxmlformats.org/officeDocument/2006/relationships/table" Target="../tables/table76.xml"/><Relationship Id="rId7" Type="http://schemas.openxmlformats.org/officeDocument/2006/relationships/table" Target="../tables/table80.xml"/><Relationship Id="rId12" Type="http://schemas.openxmlformats.org/officeDocument/2006/relationships/table" Target="../tables/table85.xml"/><Relationship Id="rId2" Type="http://schemas.openxmlformats.org/officeDocument/2006/relationships/table" Target="../tables/table75.xml"/><Relationship Id="rId16" Type="http://schemas.openxmlformats.org/officeDocument/2006/relationships/comments" Target="../comments5.xml"/><Relationship Id="rId1" Type="http://schemas.openxmlformats.org/officeDocument/2006/relationships/vmlDrawing" Target="../drawings/vmlDrawing5.vml"/><Relationship Id="rId6" Type="http://schemas.openxmlformats.org/officeDocument/2006/relationships/table" Target="../tables/table79.xml"/><Relationship Id="rId11" Type="http://schemas.openxmlformats.org/officeDocument/2006/relationships/table" Target="../tables/table84.xml"/><Relationship Id="rId5" Type="http://schemas.openxmlformats.org/officeDocument/2006/relationships/table" Target="../tables/table78.xml"/><Relationship Id="rId15" Type="http://schemas.openxmlformats.org/officeDocument/2006/relationships/table" Target="../tables/table88.xml"/><Relationship Id="rId10" Type="http://schemas.openxmlformats.org/officeDocument/2006/relationships/table" Target="../tables/table83.xml"/><Relationship Id="rId4" Type="http://schemas.openxmlformats.org/officeDocument/2006/relationships/table" Target="../tables/table77.xml"/><Relationship Id="rId9" Type="http://schemas.openxmlformats.org/officeDocument/2006/relationships/table" Target="../tables/table82.xml"/><Relationship Id="rId14" Type="http://schemas.openxmlformats.org/officeDocument/2006/relationships/table" Target="../tables/table87.xml"/></Relationships>
</file>

<file path=xl/worksheets/_rels/sheet6.xml.rels><?xml version="1.0" encoding="UTF-8" standalone="yes"?>
<Relationships xmlns="http://schemas.openxmlformats.org/package/2006/relationships"><Relationship Id="rId3" Type="http://schemas.openxmlformats.org/officeDocument/2006/relationships/table" Target="../tables/table91.xml"/><Relationship Id="rId2" Type="http://schemas.openxmlformats.org/officeDocument/2006/relationships/table" Target="../tables/table90.xml"/><Relationship Id="rId1" Type="http://schemas.openxmlformats.org/officeDocument/2006/relationships/table" Target="../tables/table89.xml"/><Relationship Id="rId4" Type="http://schemas.openxmlformats.org/officeDocument/2006/relationships/table" Target="../tables/table92.xml"/></Relationships>
</file>

<file path=xl/worksheets/_rels/sheet7.xml.rels><?xml version="1.0" encoding="UTF-8" standalone="yes"?>
<Relationships xmlns="http://schemas.openxmlformats.org/package/2006/relationships"><Relationship Id="rId1" Type="http://schemas.openxmlformats.org/officeDocument/2006/relationships/table" Target="../tables/table93.xml"/></Relationships>
</file>

<file path=xl/worksheets/_rels/sheet8.xml.rels><?xml version="1.0" encoding="UTF-8" standalone="yes"?>
<Relationships xmlns="http://schemas.openxmlformats.org/package/2006/relationships"><Relationship Id="rId3" Type="http://schemas.openxmlformats.org/officeDocument/2006/relationships/table" Target="../tables/table94.xml"/><Relationship Id="rId2" Type="http://schemas.openxmlformats.org/officeDocument/2006/relationships/hyperlink" Target="https://www.jocar.com.br/Produto.aspx?CG=18&amp;CSG=34&amp;CP=704023" TargetMode="External"/><Relationship Id="rId1" Type="http://schemas.openxmlformats.org/officeDocument/2006/relationships/hyperlink" Target="https://www.google.com.br/url?sa=i&amp;rct=j&amp;q=&amp;esrc=s&amp;source=images&amp;cd=&amp;ved=0ahUKEwjpsqHX6d7MAhVBF5AKHXDhCV8QjhwIBQ&amp;url=http://www.ateliesonhoselembrancas.com.br/sabonete-liquido-pronto-1-litro.html&amp;psig=AFQjCNHtLNBkHnjz_pFLCTKg6ulyOsIRzQ&amp;ust=1463496024545218" TargetMode="External"/></Relationships>
</file>

<file path=xl/worksheets/_rels/sheet9.xml.rels><?xml version="1.0" encoding="UTF-8" standalone="yes"?>
<Relationships xmlns="http://schemas.openxmlformats.org/package/2006/relationships"><Relationship Id="rId1" Type="http://schemas.openxmlformats.org/officeDocument/2006/relationships/table" Target="../tables/table9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150"/>
  <sheetViews>
    <sheetView showGridLines="0" topLeftCell="A125" zoomScale="85" zoomScaleNormal="85" workbookViewId="0">
      <selection activeCell="D150" sqref="D150"/>
    </sheetView>
  </sheetViews>
  <sheetFormatPr defaultColWidth="9" defaultRowHeight="15" outlineLevelRow="1"/>
  <cols>
    <col min="1" max="1" width="12.42578125" customWidth="1"/>
    <col min="2" max="2" width="76.42578125" customWidth="1"/>
    <col min="3" max="3" width="28.42578125" customWidth="1"/>
    <col min="4" max="4" width="27.42578125" customWidth="1"/>
    <col min="6" max="6" width="32.7109375" customWidth="1"/>
    <col min="7" max="7" width="13" customWidth="1"/>
  </cols>
  <sheetData>
    <row r="1" spans="1:21">
      <c r="A1" s="145" t="s">
        <v>0</v>
      </c>
      <c r="B1" s="145"/>
      <c r="C1" s="145"/>
      <c r="D1" s="145"/>
      <c r="F1" s="144" t="s">
        <v>1</v>
      </c>
      <c r="G1" s="144"/>
      <c r="H1" s="107"/>
      <c r="I1" s="107"/>
      <c r="J1" s="107"/>
      <c r="K1" s="107"/>
      <c r="L1" s="107"/>
      <c r="M1" s="107"/>
      <c r="N1" s="107"/>
      <c r="O1" s="107"/>
      <c r="P1" s="107"/>
      <c r="Q1" s="107"/>
      <c r="R1" s="107"/>
      <c r="S1" s="107"/>
      <c r="T1" s="107"/>
      <c r="U1" s="107"/>
    </row>
    <row r="2" spans="1:21">
      <c r="A2" s="24" t="s">
        <v>2</v>
      </c>
      <c r="B2" t="s">
        <v>3</v>
      </c>
      <c r="C2" s="24" t="s">
        <v>4</v>
      </c>
      <c r="D2" s="24" t="s">
        <v>5</v>
      </c>
      <c r="F2" t="s">
        <v>3</v>
      </c>
      <c r="G2" t="s">
        <v>5</v>
      </c>
      <c r="H2" s="107"/>
      <c r="I2" s="107"/>
      <c r="J2" s="107"/>
      <c r="K2" s="107"/>
      <c r="L2" s="107"/>
      <c r="M2" s="107"/>
      <c r="N2" s="107"/>
      <c r="O2" s="107"/>
      <c r="P2" s="107"/>
      <c r="Q2" s="107"/>
      <c r="R2" s="107"/>
      <c r="S2" s="107"/>
      <c r="T2" s="107"/>
      <c r="U2" s="107"/>
    </row>
    <row r="3" spans="1:21">
      <c r="A3" s="24">
        <v>1</v>
      </c>
      <c r="B3" t="s">
        <v>6</v>
      </c>
      <c r="C3" s="24"/>
      <c r="D3" s="24" t="s">
        <v>7</v>
      </c>
      <c r="F3" t="s">
        <v>8</v>
      </c>
      <c r="G3" s="127">
        <v>3.8</v>
      </c>
      <c r="H3" s="107"/>
      <c r="I3" s="107"/>
      <c r="J3" s="107"/>
      <c r="K3" s="107"/>
      <c r="L3" s="107"/>
      <c r="M3" s="107"/>
      <c r="N3" s="107"/>
      <c r="O3" s="107"/>
      <c r="P3" s="107"/>
      <c r="Q3" s="107"/>
      <c r="R3" s="107"/>
      <c r="S3" s="107"/>
      <c r="T3" s="107"/>
      <c r="U3" s="107"/>
    </row>
    <row r="4" spans="1:21">
      <c r="A4" s="24">
        <v>2</v>
      </c>
      <c r="B4" t="s">
        <v>9</v>
      </c>
      <c r="C4" s="24"/>
      <c r="D4" s="24" t="s">
        <v>10</v>
      </c>
      <c r="F4" t="s">
        <v>11</v>
      </c>
      <c r="G4" s="127">
        <v>14</v>
      </c>
      <c r="H4" s="107"/>
      <c r="I4" s="107"/>
      <c r="J4" s="107"/>
      <c r="K4" s="107"/>
      <c r="L4" s="107"/>
      <c r="M4" s="107"/>
      <c r="N4" s="107"/>
      <c r="O4" s="107"/>
      <c r="P4" s="107"/>
      <c r="Q4" s="107"/>
      <c r="R4" s="107"/>
      <c r="S4" s="107"/>
      <c r="T4" s="107"/>
      <c r="U4" s="107"/>
    </row>
    <row r="5" spans="1:21">
      <c r="A5" s="24">
        <v>3</v>
      </c>
      <c r="B5" t="s">
        <v>12</v>
      </c>
      <c r="C5" s="24" t="s">
        <v>13</v>
      </c>
      <c r="D5" s="128">
        <v>1002.88</v>
      </c>
      <c r="F5" t="s">
        <v>14</v>
      </c>
      <c r="G5" s="94">
        <v>22</v>
      </c>
      <c r="H5" s="107"/>
      <c r="I5" s="107"/>
      <c r="J5" s="107"/>
      <c r="K5" s="107"/>
      <c r="L5" s="107"/>
      <c r="M5" s="107"/>
      <c r="N5" s="107"/>
      <c r="O5" s="107"/>
      <c r="P5" s="107"/>
      <c r="Q5" s="107"/>
      <c r="R5" s="107"/>
      <c r="S5" s="107"/>
      <c r="T5" s="107"/>
      <c r="U5" s="107"/>
    </row>
    <row r="6" spans="1:21">
      <c r="A6" s="24">
        <v>4</v>
      </c>
      <c r="B6" t="s">
        <v>15</v>
      </c>
      <c r="C6" s="24" t="s">
        <v>16</v>
      </c>
      <c r="D6" s="24" t="s">
        <v>17</v>
      </c>
      <c r="F6" t="s">
        <v>18</v>
      </c>
      <c r="G6" s="129">
        <v>0.03</v>
      </c>
      <c r="H6" s="107"/>
      <c r="I6" s="107"/>
      <c r="J6" s="107"/>
      <c r="K6" s="107"/>
      <c r="L6" s="107"/>
      <c r="M6" s="107"/>
      <c r="N6" s="107"/>
      <c r="O6" s="107"/>
      <c r="P6" s="107"/>
      <c r="Q6" s="107"/>
      <c r="R6" s="107"/>
      <c r="S6" s="107"/>
      <c r="T6" s="107"/>
      <c r="U6" s="107"/>
    </row>
    <row r="7" spans="1:21">
      <c r="A7" s="24">
        <v>5</v>
      </c>
      <c r="B7" t="s">
        <v>19</v>
      </c>
      <c r="C7" s="24"/>
      <c r="D7" s="24" t="s">
        <v>20</v>
      </c>
      <c r="H7" s="107"/>
      <c r="I7" s="107"/>
      <c r="J7" s="107"/>
      <c r="K7" s="107"/>
      <c r="L7" s="107"/>
      <c r="M7" s="107"/>
      <c r="N7" s="107"/>
      <c r="O7" s="107"/>
      <c r="P7" s="107"/>
      <c r="Q7" s="107"/>
      <c r="R7" s="107"/>
      <c r="S7" s="107"/>
      <c r="T7" s="107"/>
      <c r="U7" s="107"/>
    </row>
    <row r="8" spans="1:21">
      <c r="F8" s="144" t="s">
        <v>21</v>
      </c>
      <c r="G8" s="144"/>
      <c r="H8" s="107"/>
      <c r="I8" s="107"/>
      <c r="J8" s="107"/>
      <c r="K8" s="107"/>
      <c r="L8" s="107"/>
      <c r="M8" s="107"/>
      <c r="N8" s="107"/>
      <c r="O8" s="107"/>
      <c r="P8" s="107"/>
      <c r="Q8" s="107"/>
      <c r="R8" s="107"/>
      <c r="S8" s="107"/>
      <c r="T8" s="107"/>
      <c r="U8" s="107"/>
    </row>
    <row r="9" spans="1:21">
      <c r="A9" s="140" t="s">
        <v>22</v>
      </c>
      <c r="B9" s="140"/>
      <c r="C9" s="140"/>
      <c r="D9" s="140"/>
      <c r="F9" t="s">
        <v>23</v>
      </c>
      <c r="G9" t="s">
        <v>24</v>
      </c>
      <c r="H9" s="107"/>
      <c r="I9" s="107"/>
      <c r="J9" s="107"/>
      <c r="K9" s="107"/>
      <c r="L9" s="107"/>
      <c r="M9" s="107"/>
      <c r="N9" s="107"/>
      <c r="O9" s="107"/>
      <c r="P9" s="107"/>
      <c r="Q9" s="107"/>
      <c r="R9" s="107"/>
      <c r="S9" s="107"/>
      <c r="T9" s="107"/>
      <c r="U9" s="107"/>
    </row>
    <row r="10" spans="1:21">
      <c r="A10" s="24" t="s">
        <v>25</v>
      </c>
      <c r="B10" t="s">
        <v>26</v>
      </c>
      <c r="C10" s="24" t="s">
        <v>4</v>
      </c>
      <c r="D10" s="24" t="s">
        <v>5</v>
      </c>
      <c r="F10" t="s">
        <v>27</v>
      </c>
      <c r="G10" s="130">
        <v>0.43369999999999997</v>
      </c>
      <c r="H10" s="107"/>
      <c r="I10" s="107"/>
      <c r="J10" s="107"/>
      <c r="K10" s="107"/>
      <c r="L10" s="107"/>
      <c r="M10" s="107"/>
      <c r="N10" s="107"/>
      <c r="O10" s="107"/>
      <c r="P10" s="107"/>
      <c r="Q10" s="107"/>
      <c r="R10" s="107"/>
      <c r="S10" s="107"/>
      <c r="T10" s="107"/>
      <c r="U10" s="107"/>
    </row>
    <row r="11" spans="1:21">
      <c r="A11" s="24" t="s">
        <v>28</v>
      </c>
      <c r="B11" t="s">
        <v>29</v>
      </c>
      <c r="C11" s="24"/>
      <c r="D11" s="84">
        <f>Salário_Normativo_da_Categoria_Profissional</f>
        <v>1002.88</v>
      </c>
      <c r="F11" t="s">
        <v>30</v>
      </c>
      <c r="G11" s="130">
        <v>0.43369999999999997</v>
      </c>
      <c r="H11" s="107"/>
      <c r="I11" s="107"/>
      <c r="J11" s="107"/>
      <c r="K11" s="107"/>
      <c r="L11" s="107"/>
      <c r="M11" s="107"/>
      <c r="N11" s="107"/>
      <c r="O11" s="107"/>
      <c r="P11" s="107"/>
      <c r="Q11" s="107"/>
      <c r="R11" s="107"/>
      <c r="S11" s="107"/>
      <c r="T11" s="107"/>
      <c r="U11" s="107"/>
    </row>
    <row r="12" spans="1:21">
      <c r="A12" s="24" t="s">
        <v>31</v>
      </c>
      <c r="B12" t="s">
        <v>32</v>
      </c>
      <c r="C12" s="24"/>
      <c r="D12" s="84"/>
      <c r="F12" t="s">
        <v>33</v>
      </c>
      <c r="G12" s="130">
        <v>2.18E-2</v>
      </c>
      <c r="H12" s="107"/>
      <c r="I12" s="107"/>
      <c r="J12" s="107"/>
      <c r="K12" s="107"/>
      <c r="L12" s="107"/>
      <c r="M12" s="107"/>
      <c r="N12" s="107"/>
      <c r="O12" s="107"/>
      <c r="P12" s="107"/>
      <c r="Q12" s="107"/>
      <c r="R12" s="107"/>
      <c r="S12" s="107"/>
      <c r="T12" s="107"/>
      <c r="U12" s="107"/>
    </row>
    <row r="13" spans="1:21">
      <c r="A13" s="24" t="s">
        <v>34</v>
      </c>
      <c r="B13" t="s">
        <v>35</v>
      </c>
      <c r="C13" s="24"/>
      <c r="D13" s="84"/>
      <c r="H13" s="107"/>
      <c r="I13" s="107"/>
      <c r="J13" s="107"/>
      <c r="K13" s="107"/>
      <c r="L13" s="107"/>
      <c r="M13" s="107"/>
      <c r="N13" s="107"/>
      <c r="O13" s="107"/>
      <c r="P13" s="107"/>
      <c r="Q13" s="107"/>
      <c r="R13" s="107"/>
      <c r="S13" s="107"/>
      <c r="T13" s="107"/>
      <c r="U13" s="107"/>
    </row>
    <row r="14" spans="1:21">
      <c r="A14" s="24" t="s">
        <v>36</v>
      </c>
      <c r="B14" t="s">
        <v>37</v>
      </c>
      <c r="C14" s="24"/>
      <c r="D14" s="84"/>
      <c r="F14" s="144" t="s">
        <v>38</v>
      </c>
      <c r="G14" s="144"/>
      <c r="H14" s="107"/>
      <c r="I14" s="107"/>
      <c r="J14" s="107"/>
      <c r="K14" s="107"/>
      <c r="L14" s="107"/>
      <c r="M14" s="107"/>
      <c r="N14" s="107"/>
      <c r="O14" s="107"/>
      <c r="P14" s="107"/>
      <c r="Q14" s="107"/>
      <c r="R14" s="107"/>
      <c r="S14" s="107"/>
      <c r="T14" s="107"/>
      <c r="U14" s="107"/>
    </row>
    <row r="15" spans="1:21">
      <c r="A15" s="24" t="s">
        <v>39</v>
      </c>
      <c r="B15" t="s">
        <v>40</v>
      </c>
      <c r="C15" s="24"/>
      <c r="D15" s="84"/>
      <c r="F15" s="107" t="s">
        <v>3</v>
      </c>
      <c r="G15" s="107" t="s">
        <v>24</v>
      </c>
      <c r="H15" s="107"/>
      <c r="I15" s="107"/>
      <c r="J15" s="107"/>
      <c r="K15" s="107"/>
      <c r="L15" s="107"/>
      <c r="M15" s="107"/>
      <c r="N15" s="107"/>
      <c r="O15" s="107"/>
      <c r="P15" s="107"/>
      <c r="Q15" s="107"/>
      <c r="R15" s="107"/>
      <c r="S15" s="107"/>
      <c r="T15" s="107"/>
      <c r="U15" s="107"/>
    </row>
    <row r="16" spans="1:21">
      <c r="A16" s="24" t="s">
        <v>41</v>
      </c>
      <c r="B16" t="s">
        <v>42</v>
      </c>
      <c r="C16" s="24"/>
      <c r="D16" s="84"/>
      <c r="F16" s="107" t="s">
        <v>43</v>
      </c>
      <c r="G16" s="131">
        <v>0.03</v>
      </c>
      <c r="H16" s="107"/>
      <c r="I16" s="107"/>
      <c r="J16" s="107"/>
      <c r="K16" s="107"/>
      <c r="L16" s="107"/>
      <c r="M16" s="107"/>
      <c r="N16" s="107"/>
      <c r="O16" s="107"/>
      <c r="P16" s="107"/>
      <c r="Q16" s="107"/>
      <c r="R16" s="107"/>
      <c r="S16" s="107"/>
      <c r="T16" s="107"/>
      <c r="U16" s="107"/>
    </row>
    <row r="17" spans="1:21">
      <c r="A17" s="24" t="s">
        <v>44</v>
      </c>
      <c r="C17" s="24"/>
      <c r="D17" s="84">
        <f>SUBTOTAL(109,Módulo13[Valor])</f>
        <v>1002.88</v>
      </c>
      <c r="F17" s="107" t="s">
        <v>45</v>
      </c>
      <c r="G17" s="131">
        <v>6.7900000000000002E-2</v>
      </c>
      <c r="H17" s="107"/>
      <c r="I17" s="107"/>
      <c r="J17" s="107"/>
      <c r="K17" s="107"/>
      <c r="L17" s="107"/>
      <c r="M17" s="107"/>
      <c r="N17" s="107"/>
      <c r="O17" s="107"/>
      <c r="P17" s="107"/>
      <c r="Q17" s="107"/>
      <c r="R17" s="107"/>
      <c r="S17" s="107"/>
      <c r="T17" s="107"/>
      <c r="U17" s="107"/>
    </row>
    <row r="18" spans="1:21">
      <c r="F18" s="107" t="s">
        <v>46</v>
      </c>
      <c r="G18" s="132">
        <v>1.6500000000000001E-2</v>
      </c>
      <c r="H18" s="107"/>
      <c r="I18" s="107"/>
      <c r="J18" s="107"/>
      <c r="K18" s="107"/>
      <c r="L18" s="107"/>
      <c r="M18" s="107"/>
      <c r="N18" s="107"/>
      <c r="O18" s="107"/>
      <c r="P18" s="107"/>
      <c r="Q18" s="107"/>
      <c r="R18" s="107"/>
      <c r="S18" s="107"/>
      <c r="T18" s="107"/>
      <c r="U18" s="107"/>
    </row>
    <row r="19" spans="1:21">
      <c r="A19" s="143" t="s">
        <v>47</v>
      </c>
      <c r="B19" s="143"/>
      <c r="C19" s="143"/>
      <c r="D19" s="143"/>
      <c r="F19" s="107" t="s">
        <v>48</v>
      </c>
      <c r="G19" s="132">
        <v>7.5999999999999998E-2</v>
      </c>
      <c r="H19" s="107"/>
      <c r="I19" s="107"/>
      <c r="J19" s="107"/>
      <c r="K19" s="107"/>
      <c r="L19" s="107"/>
      <c r="M19" s="107"/>
      <c r="N19" s="107"/>
      <c r="O19" s="107"/>
      <c r="P19" s="107"/>
      <c r="Q19" s="107"/>
      <c r="R19" s="107"/>
      <c r="S19" s="107"/>
      <c r="T19" s="107"/>
      <c r="U19" s="107"/>
    </row>
    <row r="20" spans="1:21">
      <c r="A20" s="144" t="s">
        <v>49</v>
      </c>
      <c r="B20" s="144"/>
      <c r="C20" s="144"/>
      <c r="D20" s="144"/>
      <c r="F20" s="107" t="s">
        <v>50</v>
      </c>
      <c r="G20" s="132">
        <v>0.05</v>
      </c>
      <c r="H20" s="107"/>
      <c r="I20" s="107"/>
      <c r="J20" s="107"/>
      <c r="K20" s="107"/>
      <c r="L20" s="107"/>
      <c r="M20" s="107"/>
      <c r="N20" s="107"/>
      <c r="O20" s="107"/>
      <c r="P20" s="107"/>
      <c r="Q20" s="107"/>
      <c r="R20" s="107"/>
      <c r="S20" s="107"/>
      <c r="T20" s="107"/>
      <c r="U20" s="107"/>
    </row>
    <row r="21" spans="1:21">
      <c r="A21" s="24" t="s">
        <v>51</v>
      </c>
      <c r="B21" t="s">
        <v>52</v>
      </c>
      <c r="C21" s="24" t="s">
        <v>4</v>
      </c>
      <c r="D21" s="24" t="s">
        <v>5</v>
      </c>
      <c r="F21" s="107"/>
      <c r="G21" s="107"/>
      <c r="H21" s="107"/>
      <c r="I21" s="107"/>
      <c r="J21" s="107"/>
      <c r="K21" s="107"/>
      <c r="L21" s="107"/>
      <c r="M21" s="107"/>
      <c r="N21" s="107"/>
      <c r="O21" s="107"/>
      <c r="P21" s="107"/>
      <c r="Q21" s="107"/>
      <c r="R21" s="107"/>
      <c r="S21" s="107"/>
      <c r="T21" s="107"/>
      <c r="U21" s="107"/>
    </row>
    <row r="22" spans="1:21">
      <c r="A22" s="24" t="s">
        <v>28</v>
      </c>
      <c r="B22" t="s">
        <v>53</v>
      </c>
      <c r="D22" s="84">
        <f>Módulo13[[#Totals],[Valor]]/12</f>
        <v>83.573333333333338</v>
      </c>
      <c r="F22" s="144" t="s">
        <v>54</v>
      </c>
      <c r="G22" s="144"/>
      <c r="H22" s="107"/>
      <c r="I22" s="107"/>
      <c r="J22" s="107"/>
      <c r="K22" s="107"/>
      <c r="L22" s="107"/>
      <c r="M22" s="107"/>
      <c r="N22" s="107"/>
      <c r="O22" s="107"/>
      <c r="P22" s="107"/>
      <c r="Q22" s="107"/>
      <c r="R22" s="107"/>
      <c r="S22" s="107"/>
      <c r="T22" s="107"/>
      <c r="U22" s="107"/>
    </row>
    <row r="23" spans="1:21">
      <c r="A23" s="24" t="s">
        <v>31</v>
      </c>
      <c r="B23" t="s">
        <v>55</v>
      </c>
      <c r="D23" s="84">
        <f>(Módulo13[[#Totals],[Valor]]/12)*(1/3)</f>
        <v>27.857777777777777</v>
      </c>
      <c r="E23" s="104"/>
      <c r="F23" s="24" t="s">
        <v>3</v>
      </c>
      <c r="G23" s="24" t="s">
        <v>5</v>
      </c>
      <c r="H23" s="107"/>
      <c r="I23" s="107"/>
      <c r="J23" s="107"/>
      <c r="K23" s="107"/>
      <c r="L23" s="107"/>
      <c r="M23" s="107"/>
      <c r="N23" s="107"/>
      <c r="O23" s="107"/>
      <c r="P23" s="107"/>
      <c r="Q23" s="107"/>
      <c r="R23" s="107"/>
      <c r="S23" s="107"/>
      <c r="T23" s="107"/>
      <c r="U23" s="107"/>
    </row>
    <row r="24" spans="1:21">
      <c r="A24" s="24" t="s">
        <v>44</v>
      </c>
      <c r="D24" s="84">
        <f>SUBTOTAL(109,Submódulo2.14[Valor])</f>
        <v>111.43111111111111</v>
      </c>
      <c r="F24" s="107" t="s">
        <v>56</v>
      </c>
      <c r="G24" s="133">
        <f>((D17+D24+(D17/12))*(100%+C41))/30</f>
        <v>54.62353066666666</v>
      </c>
      <c r="H24" s="107"/>
      <c r="I24" s="107"/>
      <c r="J24" s="107"/>
      <c r="K24" s="107"/>
      <c r="L24" s="107"/>
      <c r="M24" s="107"/>
      <c r="N24" s="107"/>
      <c r="O24" s="107"/>
      <c r="P24" s="107"/>
      <c r="Q24" s="107"/>
      <c r="R24" s="107"/>
      <c r="S24" s="107"/>
      <c r="T24" s="107"/>
      <c r="U24" s="107"/>
    </row>
    <row r="25" spans="1:21">
      <c r="A25" s="24"/>
      <c r="D25" s="84"/>
      <c r="F25" s="107" t="s">
        <v>57</v>
      </c>
      <c r="G25" s="133">
        <f>((D17*(1+(1/3))*(100%+C41))/12)/30</f>
        <v>5.0812586666666659</v>
      </c>
      <c r="H25" s="107"/>
      <c r="I25" s="107"/>
      <c r="J25" s="107"/>
      <c r="K25" s="107"/>
      <c r="L25" s="107"/>
      <c r="M25" s="107"/>
      <c r="N25" s="107"/>
      <c r="O25" s="107"/>
      <c r="P25" s="107"/>
      <c r="Q25" s="107"/>
      <c r="R25" s="107"/>
      <c r="S25" s="107"/>
      <c r="T25" s="107"/>
      <c r="U25" s="107"/>
    </row>
    <row r="26" spans="1:21">
      <c r="A26" s="141" t="s">
        <v>58</v>
      </c>
      <c r="B26" s="141"/>
      <c r="C26" s="141"/>
      <c r="D26" s="141"/>
      <c r="F26" s="107"/>
      <c r="G26" s="107"/>
      <c r="H26" s="107"/>
      <c r="I26" s="107"/>
      <c r="J26" s="107"/>
      <c r="K26" s="107"/>
      <c r="L26" s="107"/>
      <c r="M26" s="107"/>
      <c r="N26" s="107"/>
      <c r="O26" s="107"/>
      <c r="P26" s="107"/>
      <c r="Q26" s="107"/>
      <c r="R26" s="107"/>
      <c r="S26" s="107"/>
      <c r="T26" s="107"/>
      <c r="U26" s="107"/>
    </row>
    <row r="27" spans="1:21">
      <c r="A27" s="134" t="s">
        <v>2</v>
      </c>
      <c r="B27" s="134" t="s">
        <v>59</v>
      </c>
      <c r="C27" s="134" t="s">
        <v>60</v>
      </c>
      <c r="D27" s="135" t="s">
        <v>61</v>
      </c>
      <c r="F27" s="107"/>
      <c r="G27" s="107"/>
      <c r="H27" s="107"/>
      <c r="I27" s="107"/>
      <c r="J27" s="107"/>
      <c r="K27" s="107"/>
      <c r="L27" s="107"/>
      <c r="M27" s="107"/>
      <c r="N27" s="107"/>
      <c r="O27" s="107"/>
      <c r="P27" s="107"/>
      <c r="Q27" s="107"/>
      <c r="R27" s="107"/>
      <c r="S27" s="107"/>
      <c r="T27" s="107"/>
      <c r="U27" s="107"/>
    </row>
    <row r="28" spans="1:21" ht="30">
      <c r="A28" s="67" t="s">
        <v>28</v>
      </c>
      <c r="B28" s="136" t="s">
        <v>62</v>
      </c>
      <c r="C28" s="38" t="s">
        <v>63</v>
      </c>
      <c r="D28" s="136" t="s">
        <v>64</v>
      </c>
      <c r="F28" s="107"/>
      <c r="G28" s="107"/>
      <c r="H28" s="107"/>
      <c r="I28" s="107"/>
      <c r="J28" s="107"/>
      <c r="K28" s="107"/>
      <c r="L28" s="107"/>
      <c r="M28" s="107"/>
      <c r="N28" s="107"/>
      <c r="O28" s="107"/>
      <c r="P28" s="107"/>
      <c r="Q28" s="107"/>
      <c r="R28" s="107"/>
      <c r="S28" s="107"/>
      <c r="T28" s="107"/>
      <c r="U28" s="107"/>
    </row>
    <row r="29" spans="1:21">
      <c r="A29" s="67" t="s">
        <v>31</v>
      </c>
      <c r="B29" s="137" t="s">
        <v>55</v>
      </c>
      <c r="C29" s="38" t="s">
        <v>63</v>
      </c>
      <c r="D29" s="136" t="s">
        <v>65</v>
      </c>
      <c r="F29" s="107"/>
      <c r="G29" s="107"/>
      <c r="H29" s="107"/>
      <c r="I29" s="107"/>
      <c r="J29" s="107"/>
      <c r="K29" s="107"/>
      <c r="L29" s="107"/>
      <c r="M29" s="107"/>
      <c r="N29" s="107"/>
      <c r="O29" s="107"/>
      <c r="P29" s="107"/>
      <c r="Q29" s="107"/>
      <c r="R29" s="107"/>
      <c r="S29" s="107"/>
      <c r="T29" s="107"/>
      <c r="U29" s="107"/>
    </row>
    <row r="30" spans="1:21">
      <c r="A30" s="24"/>
      <c r="B30" s="24"/>
      <c r="C30" s="110"/>
      <c r="F30" s="107"/>
      <c r="G30" s="107"/>
      <c r="H30" s="107"/>
      <c r="I30" s="107"/>
      <c r="J30" s="107"/>
      <c r="K30" s="107"/>
      <c r="L30" s="107"/>
      <c r="M30" s="107"/>
      <c r="N30" s="107"/>
      <c r="O30" s="107"/>
      <c r="P30" s="107"/>
      <c r="Q30" s="107"/>
      <c r="R30" s="107"/>
      <c r="S30" s="107"/>
      <c r="T30" s="107"/>
      <c r="U30" s="107"/>
    </row>
    <row r="31" spans="1:21">
      <c r="A31" s="144" t="s">
        <v>66</v>
      </c>
      <c r="B31" s="144"/>
      <c r="C31" s="144"/>
      <c r="D31" s="144"/>
    </row>
    <row r="32" spans="1:21">
      <c r="A32" s="24" t="s">
        <v>67</v>
      </c>
      <c r="B32" t="s">
        <v>68</v>
      </c>
      <c r="C32" s="24" t="s">
        <v>24</v>
      </c>
      <c r="D32" s="24" t="s">
        <v>69</v>
      </c>
    </row>
    <row r="33" spans="1:4">
      <c r="A33" s="24" t="s">
        <v>28</v>
      </c>
      <c r="B33" t="s">
        <v>70</v>
      </c>
      <c r="C33" s="111">
        <v>0.2</v>
      </c>
      <c r="D33" s="84">
        <f>C33*(Módulo13[[#Totals],[Valor]]+Submódulo2.14[[#Totals],[Valor]])</f>
        <v>222.86222222222224</v>
      </c>
    </row>
    <row r="34" spans="1:4">
      <c r="A34" s="24" t="s">
        <v>31</v>
      </c>
      <c r="B34" t="s">
        <v>71</v>
      </c>
      <c r="C34" s="111">
        <v>2.5000000000000001E-2</v>
      </c>
      <c r="D34" s="84">
        <f>C34*(Módulo13[[#Totals],[Valor]]+Submódulo2.14[[#Totals],[Valor]])</f>
        <v>27.85777777777778</v>
      </c>
    </row>
    <row r="35" spans="1:4">
      <c r="A35" s="24" t="s">
        <v>34</v>
      </c>
      <c r="B35" t="s">
        <v>72</v>
      </c>
      <c r="C35" s="111">
        <f>Servente!G6</f>
        <v>0.03</v>
      </c>
      <c r="D35" s="84">
        <f>C35*(Módulo13[[#Totals],[Valor]]+Submódulo2.14[[#Totals],[Valor]])</f>
        <v>33.429333333333332</v>
      </c>
    </row>
    <row r="36" spans="1:4">
      <c r="A36" s="24" t="s">
        <v>36</v>
      </c>
      <c r="B36" t="s">
        <v>73</v>
      </c>
      <c r="C36" s="111">
        <v>1.4999999999999999E-2</v>
      </c>
      <c r="D36" s="84">
        <f>C36*(Módulo13[[#Totals],[Valor]]+Submódulo2.14[[#Totals],[Valor]])</f>
        <v>16.714666666666666</v>
      </c>
    </row>
    <row r="37" spans="1:4">
      <c r="A37" s="24" t="s">
        <v>39</v>
      </c>
      <c r="B37" t="s">
        <v>74</v>
      </c>
      <c r="C37" s="111">
        <v>0.01</v>
      </c>
      <c r="D37" s="84">
        <f>C37*(Módulo13[[#Totals],[Valor]]+Submódulo2.14[[#Totals],[Valor]])</f>
        <v>11.143111111111111</v>
      </c>
    </row>
    <row r="38" spans="1:4">
      <c r="A38" s="24" t="s">
        <v>41</v>
      </c>
      <c r="B38" t="s">
        <v>75</v>
      </c>
      <c r="C38" s="111">
        <v>6.0000000000000001E-3</v>
      </c>
      <c r="D38" s="84">
        <f>C38*(Módulo13[[#Totals],[Valor]]+Submódulo2.14[[#Totals],[Valor]])</f>
        <v>6.6858666666666666</v>
      </c>
    </row>
    <row r="39" spans="1:4">
      <c r="A39" s="24" t="s">
        <v>76</v>
      </c>
      <c r="B39" t="s">
        <v>77</v>
      </c>
      <c r="C39" s="111">
        <v>2E-3</v>
      </c>
      <c r="D39" s="84">
        <f>C39*(Módulo13[[#Totals],[Valor]]+Submódulo2.14[[#Totals],[Valor]])</f>
        <v>2.2286222222222225</v>
      </c>
    </row>
    <row r="40" spans="1:4">
      <c r="A40" s="24" t="s">
        <v>78</v>
      </c>
      <c r="B40" t="s">
        <v>79</v>
      </c>
      <c r="C40" s="111">
        <v>0.08</v>
      </c>
      <c r="D40" s="84">
        <f>C40*(Módulo13[[#Totals],[Valor]]+Submódulo2.14[[#Totals],[Valor]])</f>
        <v>89.144888888888886</v>
      </c>
    </row>
    <row r="41" spans="1:4">
      <c r="A41" s="24" t="s">
        <v>44</v>
      </c>
      <c r="C41" s="114">
        <v>0.36799999999999999</v>
      </c>
      <c r="D41" s="84">
        <f>SUBTOTAL(109,Submódulo2.26[[Valor ]])</f>
        <v>410.0664888888889</v>
      </c>
    </row>
    <row r="42" spans="1:4">
      <c r="A42" s="24"/>
      <c r="C42" s="114"/>
      <c r="D42" s="84"/>
    </row>
    <row r="43" spans="1:4">
      <c r="A43" s="141" t="s">
        <v>80</v>
      </c>
      <c r="B43" s="141"/>
      <c r="C43" s="141"/>
      <c r="D43" s="141"/>
    </row>
    <row r="44" spans="1:4">
      <c r="A44" s="134" t="s">
        <v>2</v>
      </c>
      <c r="B44" s="134" t="s">
        <v>59</v>
      </c>
      <c r="C44" s="134" t="s">
        <v>60</v>
      </c>
      <c r="D44" s="135" t="s">
        <v>61</v>
      </c>
    </row>
    <row r="45" spans="1:4" ht="30">
      <c r="A45" s="67" t="s">
        <v>81</v>
      </c>
      <c r="B45" s="136" t="s">
        <v>68</v>
      </c>
      <c r="C45" s="136" t="s">
        <v>82</v>
      </c>
      <c r="D45" s="136" t="s">
        <v>83</v>
      </c>
    </row>
    <row r="47" spans="1:4">
      <c r="A47" s="144" t="s">
        <v>84</v>
      </c>
      <c r="B47" s="144"/>
      <c r="C47" s="144"/>
      <c r="D47" s="144"/>
    </row>
    <row r="48" spans="1:4">
      <c r="A48" s="24" t="s">
        <v>85</v>
      </c>
      <c r="B48" t="s">
        <v>86</v>
      </c>
      <c r="C48" s="24" t="s">
        <v>4</v>
      </c>
      <c r="D48" s="24" t="s">
        <v>5</v>
      </c>
    </row>
    <row r="49" spans="1:4">
      <c r="A49" s="24" t="s">
        <v>28</v>
      </c>
      <c r="B49" t="s">
        <v>87</v>
      </c>
      <c r="D49" s="84">
        <v>107.02719999999999</v>
      </c>
    </row>
    <row r="50" spans="1:4">
      <c r="A50" s="24" t="s">
        <v>31</v>
      </c>
      <c r="B50" t="s">
        <v>88</v>
      </c>
      <c r="D50" s="84">
        <f>(Servente!G4*Servente!G5)*80%</f>
        <v>246.4</v>
      </c>
    </row>
    <row r="51" spans="1:4">
      <c r="A51" s="24" t="s">
        <v>34</v>
      </c>
      <c r="B51" t="s">
        <v>89</v>
      </c>
      <c r="D51" s="84"/>
    </row>
    <row r="52" spans="1:4">
      <c r="A52" s="24" t="s">
        <v>36</v>
      </c>
      <c r="B52" t="s">
        <v>90</v>
      </c>
      <c r="C52" t="s">
        <v>91</v>
      </c>
      <c r="D52" s="84">
        <v>4</v>
      </c>
    </row>
    <row r="53" spans="1:4">
      <c r="A53" s="24" t="s">
        <v>39</v>
      </c>
      <c r="B53" t="s">
        <v>92</v>
      </c>
      <c r="C53" t="s">
        <v>93</v>
      </c>
      <c r="D53" s="84">
        <v>15</v>
      </c>
    </row>
    <row r="54" spans="1:4">
      <c r="A54" s="24" t="s">
        <v>44</v>
      </c>
      <c r="D54" s="84">
        <v>372.42720000000003</v>
      </c>
    </row>
    <row r="55" spans="1:4">
      <c r="A55" s="24"/>
      <c r="D55" s="84"/>
    </row>
    <row r="56" spans="1:4">
      <c r="A56" s="141" t="s">
        <v>94</v>
      </c>
      <c r="B56" s="141"/>
      <c r="C56" s="141"/>
      <c r="D56" s="141"/>
    </row>
    <row r="57" spans="1:4">
      <c r="A57" s="134" t="s">
        <v>2</v>
      </c>
      <c r="B57" s="134" t="s">
        <v>59</v>
      </c>
      <c r="C57" s="134" t="s">
        <v>60</v>
      </c>
      <c r="D57" s="134" t="s">
        <v>61</v>
      </c>
    </row>
    <row r="58" spans="1:4" ht="45">
      <c r="A58" s="67" t="s">
        <v>28</v>
      </c>
      <c r="B58" s="136" t="s">
        <v>87</v>
      </c>
      <c r="C58" s="38" t="s">
        <v>95</v>
      </c>
      <c r="D58" s="38" t="s">
        <v>96</v>
      </c>
    </row>
    <row r="59" spans="1:4" ht="30">
      <c r="A59" s="67" t="s">
        <v>31</v>
      </c>
      <c r="B59" s="137" t="s">
        <v>88</v>
      </c>
      <c r="C59" s="38" t="s">
        <v>95</v>
      </c>
      <c r="D59" s="38" t="s">
        <v>97</v>
      </c>
    </row>
    <row r="60" spans="1:4" ht="19.5" customHeight="1">
      <c r="A60" s="24"/>
      <c r="D60" s="84"/>
    </row>
    <row r="61" spans="1:4">
      <c r="A61" s="144" t="s">
        <v>98</v>
      </c>
      <c r="B61" s="144"/>
      <c r="C61" s="144"/>
      <c r="D61" s="144"/>
    </row>
    <row r="62" spans="1:4">
      <c r="A62" s="24" t="s">
        <v>99</v>
      </c>
      <c r="B62" t="s">
        <v>100</v>
      </c>
      <c r="C62" s="24" t="s">
        <v>4</v>
      </c>
      <c r="D62" s="24" t="s">
        <v>5</v>
      </c>
    </row>
    <row r="63" spans="1:4">
      <c r="A63" s="24" t="s">
        <v>51</v>
      </c>
      <c r="B63" t="s">
        <v>52</v>
      </c>
      <c r="C63" s="24"/>
      <c r="D63" s="84">
        <f>Submódulo2.14[[#Totals],[Valor]]</f>
        <v>111.43111111111111</v>
      </c>
    </row>
    <row r="64" spans="1:4">
      <c r="A64" s="24" t="s">
        <v>67</v>
      </c>
      <c r="B64" t="s">
        <v>68</v>
      </c>
      <c r="C64" s="24"/>
      <c r="D64" s="84">
        <f>Submódulo2.26[[#Totals],[Valor ]]</f>
        <v>410.0664888888889</v>
      </c>
    </row>
    <row r="65" spans="1:4">
      <c r="A65" s="24" t="s">
        <v>85</v>
      </c>
      <c r="B65" t="s">
        <v>86</v>
      </c>
      <c r="C65" s="24"/>
      <c r="D65" s="84">
        <f>Submódulo2.38[[#Totals],[Valor]]</f>
        <v>372.42720000000003</v>
      </c>
    </row>
    <row r="66" spans="1:4">
      <c r="A66" s="24" t="s">
        <v>44</v>
      </c>
      <c r="C66" s="24"/>
      <c r="D66" s="84">
        <f>SUBTOTAL(109,ResumoMódulo29[Valor])</f>
        <v>893.9248</v>
      </c>
    </row>
    <row r="68" spans="1:4">
      <c r="A68" s="140" t="s">
        <v>101</v>
      </c>
      <c r="B68" s="140"/>
      <c r="C68" s="140"/>
      <c r="D68" s="140"/>
    </row>
    <row r="69" spans="1:4">
      <c r="A69" s="24" t="s">
        <v>102</v>
      </c>
      <c r="B69" t="s">
        <v>103</v>
      </c>
      <c r="C69" s="24" t="s">
        <v>4</v>
      </c>
      <c r="D69" s="24" t="s">
        <v>5</v>
      </c>
    </row>
    <row r="70" spans="1:4">
      <c r="A70" s="24" t="s">
        <v>28</v>
      </c>
      <c r="B70" t="s">
        <v>104</v>
      </c>
      <c r="D70" s="84">
        <f>((Módulo13[[#Totals],[Valor]]+D63+D65)/12)*G10</f>
        <v>53.73320046074074</v>
      </c>
    </row>
    <row r="71" spans="1:4">
      <c r="A71" s="24" t="s">
        <v>31</v>
      </c>
      <c r="B71" t="s">
        <v>105</v>
      </c>
      <c r="D71" s="84">
        <f>(D40/12)*Servente!G10</f>
        <v>3.2218448592592588</v>
      </c>
    </row>
    <row r="72" spans="1:4">
      <c r="A72" s="24" t="s">
        <v>34</v>
      </c>
      <c r="B72" t="s">
        <v>106</v>
      </c>
      <c r="D72" s="84">
        <f>D40*50%*Servente!G10</f>
        <v>19.331069155555554</v>
      </c>
    </row>
    <row r="73" spans="1:4">
      <c r="A73" s="24" t="s">
        <v>36</v>
      </c>
      <c r="B73" t="s">
        <v>107</v>
      </c>
      <c r="D73" s="84">
        <f>((Módulo13[[#Totals],[Valor]]+ResumoMódulo29[[#Totals],[Valor]])/12)*G11</f>
        <v>68.553686813333314</v>
      </c>
    </row>
    <row r="74" spans="1:4">
      <c r="A74" s="24" t="s">
        <v>39</v>
      </c>
      <c r="B74" t="s">
        <v>108</v>
      </c>
      <c r="D74" s="84">
        <f>D40*50%*Servente!G11</f>
        <v>19.331069155555554</v>
      </c>
    </row>
    <row r="75" spans="1:4">
      <c r="A75" s="24" t="s">
        <v>41</v>
      </c>
      <c r="B75" t="s">
        <v>109</v>
      </c>
      <c r="D75" s="84">
        <f>-D63*Servente!G12</f>
        <v>-2.4291982222222219</v>
      </c>
    </row>
    <row r="76" spans="1:4">
      <c r="A76" s="24" t="s">
        <v>44</v>
      </c>
      <c r="D76" s="84">
        <f>SUBTOTAL(109,Módulo324[Valor])</f>
        <v>161.74167222222218</v>
      </c>
    </row>
    <row r="77" spans="1:4">
      <c r="A77" s="24"/>
      <c r="D77" s="84"/>
    </row>
    <row r="78" spans="1:4">
      <c r="A78" s="141" t="s">
        <v>110</v>
      </c>
      <c r="B78" s="141"/>
      <c r="C78" s="141"/>
      <c r="D78" s="141"/>
    </row>
    <row r="79" spans="1:4">
      <c r="A79" s="134" t="s">
        <v>2</v>
      </c>
      <c r="B79" s="134" t="s">
        <v>59</v>
      </c>
      <c r="C79" s="134" t="s">
        <v>60</v>
      </c>
      <c r="D79" s="134" t="s">
        <v>61</v>
      </c>
    </row>
    <row r="80" spans="1:4" ht="60">
      <c r="A80" s="67" t="s">
        <v>28</v>
      </c>
      <c r="B80" s="136" t="s">
        <v>104</v>
      </c>
      <c r="C80" s="38" t="s">
        <v>111</v>
      </c>
      <c r="D80" s="38" t="s">
        <v>112</v>
      </c>
    </row>
    <row r="81" spans="1:5" ht="60">
      <c r="A81" s="67" t="s">
        <v>31</v>
      </c>
      <c r="B81" s="137" t="s">
        <v>105</v>
      </c>
      <c r="C81" s="38" t="s">
        <v>113</v>
      </c>
      <c r="D81" s="38" t="s">
        <v>112</v>
      </c>
    </row>
    <row r="82" spans="1:5" ht="75">
      <c r="A82" s="67" t="s">
        <v>34</v>
      </c>
      <c r="B82" s="137" t="s">
        <v>106</v>
      </c>
      <c r="C82" s="38" t="s">
        <v>113</v>
      </c>
      <c r="D82" s="82" t="s">
        <v>114</v>
      </c>
    </row>
    <row r="83" spans="1:5" ht="60">
      <c r="A83" s="67" t="s">
        <v>36</v>
      </c>
      <c r="B83" s="138" t="s">
        <v>107</v>
      </c>
      <c r="C83" s="38" t="s">
        <v>115</v>
      </c>
      <c r="D83" s="82" t="s">
        <v>116</v>
      </c>
    </row>
    <row r="84" spans="1:5" ht="75">
      <c r="A84" s="67" t="s">
        <v>39</v>
      </c>
      <c r="B84" s="138" t="s">
        <v>108</v>
      </c>
      <c r="C84" s="38" t="s">
        <v>113</v>
      </c>
      <c r="D84" s="82" t="s">
        <v>117</v>
      </c>
    </row>
    <row r="85" spans="1:5" ht="60">
      <c r="A85" s="67" t="s">
        <v>41</v>
      </c>
      <c r="B85" s="138" t="s">
        <v>109</v>
      </c>
      <c r="C85" s="38" t="s">
        <v>118</v>
      </c>
      <c r="D85" s="82" t="s">
        <v>119</v>
      </c>
    </row>
    <row r="87" spans="1:5">
      <c r="A87" s="142" t="s">
        <v>120</v>
      </c>
      <c r="B87" s="143"/>
      <c r="C87" s="143"/>
      <c r="D87" s="143"/>
    </row>
    <row r="88" spans="1:5">
      <c r="A88" s="139" t="s">
        <v>121</v>
      </c>
      <c r="B88" s="139"/>
      <c r="C88" s="139"/>
      <c r="D88" s="139"/>
    </row>
    <row r="89" spans="1:5">
      <c r="A89" s="24" t="s">
        <v>122</v>
      </c>
      <c r="B89" t="s">
        <v>123</v>
      </c>
      <c r="C89" s="24" t="s">
        <v>124</v>
      </c>
      <c r="D89" s="24" t="s">
        <v>5</v>
      </c>
    </row>
    <row r="90" spans="1:5">
      <c r="A90" s="24" t="s">
        <v>28</v>
      </c>
      <c r="B90" t="s">
        <v>125</v>
      </c>
      <c r="C90" s="24">
        <v>30</v>
      </c>
      <c r="D90" s="84">
        <f t="shared" ref="D90:D95" si="0">(C90*G$24)/12</f>
        <v>136.55882666666665</v>
      </c>
      <c r="E90" s="104"/>
    </row>
    <row r="91" spans="1:5">
      <c r="A91" s="24" t="s">
        <v>31</v>
      </c>
      <c r="B91" t="s">
        <v>126</v>
      </c>
      <c r="C91" s="24">
        <v>1.4180999999999999</v>
      </c>
      <c r="D91" s="84">
        <f t="shared" si="0"/>
        <v>6.4551357365333324</v>
      </c>
      <c r="E91" s="104"/>
    </row>
    <row r="92" spans="1:5">
      <c r="A92" s="24" t="s">
        <v>34</v>
      </c>
      <c r="B92" t="s">
        <v>127</v>
      </c>
      <c r="C92" s="24">
        <v>0.1898</v>
      </c>
      <c r="D92" s="84">
        <f t="shared" si="0"/>
        <v>0.86396217671111097</v>
      </c>
      <c r="E92" s="104"/>
    </row>
    <row r="93" spans="1:5">
      <c r="A93" s="24" t="s">
        <v>36</v>
      </c>
      <c r="B93" t="s">
        <v>128</v>
      </c>
      <c r="C93" s="24">
        <v>0.95450000000000002</v>
      </c>
      <c r="D93" s="84">
        <f t="shared" si="0"/>
        <v>4.3448466684444442</v>
      </c>
      <c r="E93" s="104"/>
    </row>
    <row r="94" spans="1:5">
      <c r="A94" s="24" t="s">
        <v>39</v>
      </c>
      <c r="B94" t="s">
        <v>129</v>
      </c>
      <c r="C94" s="24">
        <v>2.4723000000000002</v>
      </c>
      <c r="D94" s="84">
        <f>(C94*G$25)/12</f>
        <v>1.0468663167999999</v>
      </c>
      <c r="E94" s="104"/>
    </row>
    <row r="95" spans="1:5">
      <c r="A95" s="24" t="s">
        <v>41</v>
      </c>
      <c r="B95" t="s">
        <v>130</v>
      </c>
      <c r="C95" s="24">
        <v>3.4521000000000002</v>
      </c>
      <c r="D95" s="84">
        <f t="shared" si="0"/>
        <v>15.713824184533332</v>
      </c>
      <c r="E95" s="104"/>
    </row>
    <row r="96" spans="1:5">
      <c r="A96" s="24" t="s">
        <v>44</v>
      </c>
      <c r="C96" s="24">
        <f>SUBTOTAL(109,Submódulo4.125[Dias de ausência])</f>
        <v>38.486800000000002</v>
      </c>
      <c r="D96" s="84">
        <f>SUBTOTAL(109,Submódulo4.125[Valor])</f>
        <v>164.98346174968884</v>
      </c>
    </row>
    <row r="97" spans="1:4">
      <c r="A97" s="24"/>
      <c r="C97" s="24"/>
      <c r="D97" s="84"/>
    </row>
    <row r="98" spans="1:4">
      <c r="A98" s="141" t="s">
        <v>131</v>
      </c>
      <c r="B98" s="141"/>
      <c r="C98" s="141"/>
      <c r="D98" s="141"/>
    </row>
    <row r="99" spans="1:4">
      <c r="A99" s="134" t="s">
        <v>2</v>
      </c>
      <c r="B99" s="134" t="s">
        <v>59</v>
      </c>
      <c r="C99" s="134" t="s">
        <v>60</v>
      </c>
      <c r="D99" s="134" t="s">
        <v>61</v>
      </c>
    </row>
    <row r="100" spans="1:4">
      <c r="A100" s="67" t="s">
        <v>132</v>
      </c>
      <c r="B100" s="136" t="s">
        <v>133</v>
      </c>
      <c r="C100" s="38"/>
      <c r="D100" s="38"/>
    </row>
    <row r="101" spans="1:4" ht="60">
      <c r="A101" s="67" t="s">
        <v>134</v>
      </c>
      <c r="B101" s="137" t="s">
        <v>135</v>
      </c>
      <c r="C101" s="38" t="s">
        <v>136</v>
      </c>
      <c r="D101" s="38" t="s">
        <v>137</v>
      </c>
    </row>
    <row r="102" spans="1:4" ht="60">
      <c r="A102" s="67" t="s">
        <v>39</v>
      </c>
      <c r="B102" s="137" t="s">
        <v>138</v>
      </c>
      <c r="C102" s="38" t="s">
        <v>139</v>
      </c>
      <c r="D102" s="38" t="s">
        <v>137</v>
      </c>
    </row>
    <row r="103" spans="1:4">
      <c r="A103" s="24"/>
      <c r="C103" s="24"/>
      <c r="D103" s="84"/>
    </row>
    <row r="104" spans="1:4">
      <c r="A104" s="144" t="s">
        <v>140</v>
      </c>
      <c r="B104" s="144"/>
      <c r="C104" s="144"/>
      <c r="D104" s="144"/>
    </row>
    <row r="105" spans="1:4">
      <c r="A105" s="24" t="s">
        <v>141</v>
      </c>
      <c r="B105" t="s">
        <v>142</v>
      </c>
      <c r="C105" s="24" t="s">
        <v>4</v>
      </c>
      <c r="D105" s="24" t="s">
        <v>5</v>
      </c>
    </row>
    <row r="106" spans="1:4">
      <c r="A106" s="24" t="s">
        <v>28</v>
      </c>
      <c r="B106" t="s">
        <v>143</v>
      </c>
      <c r="C106" s="24"/>
      <c r="D106" s="84"/>
    </row>
    <row r="107" spans="1:4">
      <c r="A107" s="24" t="s">
        <v>44</v>
      </c>
      <c r="C107" s="24"/>
      <c r="D107" s="84">
        <f>SUBTOTAL(109,Submódulo4.226[Valor])</f>
        <v>0</v>
      </c>
    </row>
    <row r="109" spans="1:4">
      <c r="A109" s="139" t="s">
        <v>144</v>
      </c>
      <c r="B109" s="139"/>
      <c r="C109" s="139"/>
      <c r="D109" s="139"/>
    </row>
    <row r="110" spans="1:4">
      <c r="A110" s="24" t="s">
        <v>145</v>
      </c>
      <c r="B110" t="s">
        <v>146</v>
      </c>
      <c r="C110" s="24" t="s">
        <v>4</v>
      </c>
      <c r="D110" s="24" t="s">
        <v>5</v>
      </c>
    </row>
    <row r="111" spans="1:4">
      <c r="A111" s="24" t="s">
        <v>122</v>
      </c>
      <c r="B111" t="s">
        <v>123</v>
      </c>
      <c r="D111" s="84">
        <f>Submódulo4.125[[#Totals],[Valor]]</f>
        <v>164.98346174968884</v>
      </c>
    </row>
    <row r="112" spans="1:4">
      <c r="A112" s="24" t="s">
        <v>141</v>
      </c>
      <c r="B112" t="s">
        <v>147</v>
      </c>
      <c r="D112" s="84">
        <f>Submódulo4.226[[#Totals],[Valor]]</f>
        <v>0</v>
      </c>
    </row>
    <row r="113" spans="1:4">
      <c r="A113" s="24" t="s">
        <v>44</v>
      </c>
      <c r="D113" s="84">
        <f>SUBTOTAL(109,ResumoMódulo427[Valor])</f>
        <v>164.98346174968884</v>
      </c>
    </row>
    <row r="115" spans="1:4">
      <c r="A115" s="140" t="s">
        <v>148</v>
      </c>
      <c r="B115" s="140"/>
      <c r="C115" s="140"/>
      <c r="D115" s="140"/>
    </row>
    <row r="116" spans="1:4">
      <c r="A116" s="24" t="s">
        <v>149</v>
      </c>
      <c r="B116" t="s">
        <v>150</v>
      </c>
      <c r="C116" s="24" t="s">
        <v>4</v>
      </c>
      <c r="D116" s="24" t="s">
        <v>5</v>
      </c>
    </row>
    <row r="117" spans="1:4">
      <c r="A117" s="24" t="s">
        <v>28</v>
      </c>
      <c r="B117" t="s">
        <v>151</v>
      </c>
      <c r="D117" s="84">
        <f>Table43[[#Totals],[Valor Mensal/ Empregado]]</f>
        <v>31.71</v>
      </c>
    </row>
    <row r="118" spans="1:4">
      <c r="A118" s="24" t="s">
        <v>31</v>
      </c>
      <c r="B118" t="s">
        <v>152</v>
      </c>
      <c r="D118" s="84" t="e">
        <f>Table46[[#Totals],[Valor Total Mensal (R$)]]/Table328[[#Totals],[Qte ajustada]]</f>
        <v>#REF!</v>
      </c>
    </row>
    <row r="119" spans="1:4">
      <c r="A119" s="24" t="s">
        <v>34</v>
      </c>
      <c r="B119" t="s">
        <v>153</v>
      </c>
      <c r="D119" s="84" t="e">
        <f>Equipamentos!F36/Table328[[#Totals],[Qte ajustada]]</f>
        <v>#DIV/0!</v>
      </c>
    </row>
    <row r="120" spans="1:4">
      <c r="A120" s="24" t="s">
        <v>36</v>
      </c>
      <c r="B120" t="s">
        <v>154</v>
      </c>
      <c r="D120" s="84">
        <f>Table328[[#Totals],[Qte ajustada]]</f>
        <v>0</v>
      </c>
    </row>
    <row r="121" spans="1:4">
      <c r="A121" s="24" t="s">
        <v>44</v>
      </c>
      <c r="D121" s="84" t="e">
        <f>SUBTOTAL(109,Módulo528[Valor])</f>
        <v>#REF!</v>
      </c>
    </row>
    <row r="122" spans="1:4">
      <c r="A122" s="24"/>
      <c r="D122" s="84"/>
    </row>
    <row r="123" spans="1:4">
      <c r="A123" s="141" t="s">
        <v>155</v>
      </c>
      <c r="B123" s="141"/>
      <c r="C123" s="141"/>
      <c r="D123" s="141"/>
    </row>
    <row r="124" spans="1:4">
      <c r="A124" s="134" t="s">
        <v>2</v>
      </c>
      <c r="B124" s="134" t="s">
        <v>59</v>
      </c>
      <c r="C124" s="134" t="s">
        <v>60</v>
      </c>
      <c r="D124" s="134" t="s">
        <v>61</v>
      </c>
    </row>
    <row r="125" spans="1:4">
      <c r="A125" s="67" t="s">
        <v>28</v>
      </c>
      <c r="B125" s="136" t="s">
        <v>151</v>
      </c>
      <c r="C125" s="38" t="s">
        <v>156</v>
      </c>
      <c r="D125" s="38"/>
    </row>
    <row r="126" spans="1:4" ht="30">
      <c r="A126" s="67" t="s">
        <v>31</v>
      </c>
      <c r="B126" s="137" t="s">
        <v>152</v>
      </c>
      <c r="C126" s="38" t="s">
        <v>157</v>
      </c>
      <c r="D126" s="38" t="s">
        <v>158</v>
      </c>
    </row>
    <row r="127" spans="1:4" ht="30">
      <c r="A127" s="67" t="s">
        <v>34</v>
      </c>
      <c r="B127" s="137" t="s">
        <v>153</v>
      </c>
      <c r="C127" s="38" t="s">
        <v>159</v>
      </c>
      <c r="D127" s="38" t="s">
        <v>158</v>
      </c>
    </row>
    <row r="128" spans="1:4">
      <c r="A128" s="67" t="s">
        <v>36</v>
      </c>
      <c r="B128" s="137" t="s">
        <v>154</v>
      </c>
      <c r="C128" s="38"/>
      <c r="D128" s="38"/>
    </row>
    <row r="130" spans="1:4">
      <c r="A130" s="140" t="s">
        <v>160</v>
      </c>
      <c r="B130" s="140"/>
      <c r="C130" s="140"/>
      <c r="D130" s="140"/>
    </row>
    <row r="131" spans="1:4" outlineLevel="1">
      <c r="A131" s="24" t="s">
        <v>161</v>
      </c>
      <c r="B131" t="s">
        <v>162</v>
      </c>
      <c r="C131" s="24" t="s">
        <v>24</v>
      </c>
      <c r="D131" s="24" t="s">
        <v>5</v>
      </c>
    </row>
    <row r="132" spans="1:4" outlineLevel="1">
      <c r="A132" s="24" t="s">
        <v>28</v>
      </c>
      <c r="B132" t="s">
        <v>163</v>
      </c>
      <c r="C132" s="111">
        <f>G16</f>
        <v>0.03</v>
      </c>
      <c r="D132" s="84" t="e">
        <f>Módulo629[[#This Row],[Percentual]]*(D143+D144+D145+D146+D147)</f>
        <v>#REF!</v>
      </c>
    </row>
    <row r="133" spans="1:4" outlineLevel="1">
      <c r="A133" s="24" t="s">
        <v>31</v>
      </c>
      <c r="B133" t="s">
        <v>45</v>
      </c>
      <c r="C133" s="111">
        <f>G17</f>
        <v>6.7900000000000002E-2</v>
      </c>
      <c r="D133" s="84" t="e">
        <f>(SUM(D143:D147)+D132)*Módulo629[[#This Row],[Percentual]]</f>
        <v>#REF!</v>
      </c>
    </row>
    <row r="134" spans="1:4">
      <c r="A134" s="24" t="s">
        <v>34</v>
      </c>
      <c r="B134" t="s">
        <v>164</v>
      </c>
      <c r="C134" s="111">
        <f>SUM(C135:C137)</f>
        <v>0.14250000000000002</v>
      </c>
      <c r="D134" s="84" t="e">
        <f>Módulo629[[#This Row],[Percentual]]*D150</f>
        <v>#REF!</v>
      </c>
    </row>
    <row r="135" spans="1:4">
      <c r="A135" s="24" t="s">
        <v>165</v>
      </c>
      <c r="B135" t="s">
        <v>46</v>
      </c>
      <c r="C135" s="111">
        <f>G18</f>
        <v>1.6500000000000001E-2</v>
      </c>
      <c r="D135" s="84" t="e">
        <f>Módulo629[[#This Row],[Percentual]]*D150</f>
        <v>#REF!</v>
      </c>
    </row>
    <row r="136" spans="1:4">
      <c r="A136" s="24" t="s">
        <v>166</v>
      </c>
      <c r="B136" t="s">
        <v>48</v>
      </c>
      <c r="C136" s="111">
        <f>G19</f>
        <v>7.5999999999999998E-2</v>
      </c>
      <c r="D136" s="84" t="e">
        <f>Módulo629[[#This Row],[Percentual]]*D150</f>
        <v>#REF!</v>
      </c>
    </row>
    <row r="137" spans="1:4">
      <c r="A137" s="24" t="s">
        <v>167</v>
      </c>
      <c r="B137" t="s">
        <v>50</v>
      </c>
      <c r="C137" s="111">
        <f>G20</f>
        <v>0.05</v>
      </c>
      <c r="D137" s="84" t="e">
        <f>Módulo629[[#This Row],[Percentual]]*D150</f>
        <v>#REF!</v>
      </c>
    </row>
    <row r="138" spans="1:4">
      <c r="A138" s="24" t="s">
        <v>44</v>
      </c>
      <c r="C138" s="124"/>
      <c r="D138" s="84" t="e">
        <f>SUM(D132:D134)</f>
        <v>#REF!</v>
      </c>
    </row>
    <row r="139" spans="1:4">
      <c r="A139" s="24"/>
      <c r="C139" s="124"/>
      <c r="D139" s="84"/>
    </row>
    <row r="141" spans="1:4">
      <c r="A141" s="140" t="s">
        <v>168</v>
      </c>
      <c r="B141" s="140"/>
      <c r="C141" s="140"/>
      <c r="D141" s="140"/>
    </row>
    <row r="142" spans="1:4">
      <c r="A142" s="24" t="s">
        <v>2</v>
      </c>
      <c r="B142" s="24" t="s">
        <v>169</v>
      </c>
      <c r="C142" s="24" t="s">
        <v>95</v>
      </c>
      <c r="D142" s="24" t="s">
        <v>5</v>
      </c>
    </row>
    <row r="143" spans="1:4">
      <c r="A143" s="24" t="s">
        <v>28</v>
      </c>
      <c r="B143" t="s">
        <v>22</v>
      </c>
      <c r="D143" s="84">
        <f>Módulo13[[#Totals],[Valor]]</f>
        <v>1002.88</v>
      </c>
    </row>
    <row r="144" spans="1:4">
      <c r="A144" s="24" t="s">
        <v>31</v>
      </c>
      <c r="B144" t="s">
        <v>47</v>
      </c>
      <c r="D144" s="84">
        <f>ResumoMódulo29[[#Totals],[Valor]]</f>
        <v>893.9248</v>
      </c>
    </row>
    <row r="145" spans="1:4">
      <c r="A145" s="24" t="s">
        <v>34</v>
      </c>
      <c r="B145" t="s">
        <v>101</v>
      </c>
      <c r="D145" s="84">
        <f>Módulo324[[#Totals],[Valor]]</f>
        <v>161.74167222222218</v>
      </c>
    </row>
    <row r="146" spans="1:4">
      <c r="A146" s="24" t="s">
        <v>36</v>
      </c>
      <c r="B146" t="s">
        <v>170</v>
      </c>
      <c r="D146" s="84">
        <f>ResumoMódulo427[[#Totals],[Valor]]</f>
        <v>164.98346174968884</v>
      </c>
    </row>
    <row r="147" spans="1:4">
      <c r="A147" s="24" t="s">
        <v>39</v>
      </c>
      <c r="B147" t="s">
        <v>148</v>
      </c>
      <c r="D147" s="84" t="e">
        <f>Módulo528[[#Totals],[Valor]]</f>
        <v>#REF!</v>
      </c>
    </row>
    <row r="148" spans="1:4">
      <c r="A148" t="s">
        <v>171</v>
      </c>
      <c r="D148" s="84" t="e">
        <f>SUM(D143:D147)</f>
        <v>#REF!</v>
      </c>
    </row>
    <row r="149" spans="1:4">
      <c r="A149" s="24" t="s">
        <v>41</v>
      </c>
      <c r="B149" t="s">
        <v>160</v>
      </c>
      <c r="D149" s="84" t="e">
        <f>Módulo629[[#Totals],[Valor]]</f>
        <v>#REF!</v>
      </c>
    </row>
    <row r="150" spans="1:4">
      <c r="A150" s="48" t="s">
        <v>172</v>
      </c>
      <c r="B150" s="48"/>
      <c r="C150" s="48"/>
      <c r="D150" s="126" t="e">
        <f>(SUM(D143:D147)+D132+D133)/(100%-C134)</f>
        <v>#REF!</v>
      </c>
    </row>
  </sheetData>
  <mergeCells count="25">
    <mergeCell ref="A1:D1"/>
    <mergeCell ref="F1:G1"/>
    <mergeCell ref="F8:G8"/>
    <mergeCell ref="A9:D9"/>
    <mergeCell ref="F14:G14"/>
    <mergeCell ref="A19:D19"/>
    <mergeCell ref="A20:D20"/>
    <mergeCell ref="F22:G22"/>
    <mergeCell ref="A26:D26"/>
    <mergeCell ref="A31:D31"/>
    <mergeCell ref="A43:D43"/>
    <mergeCell ref="A47:D47"/>
    <mergeCell ref="A56:D56"/>
    <mergeCell ref="A61:D61"/>
    <mergeCell ref="A68:D68"/>
    <mergeCell ref="A78:D78"/>
    <mergeCell ref="A87:D87"/>
    <mergeCell ref="A88:D88"/>
    <mergeCell ref="A98:D98"/>
    <mergeCell ref="A104:D104"/>
    <mergeCell ref="A109:D109"/>
    <mergeCell ref="A115:D115"/>
    <mergeCell ref="A123:D123"/>
    <mergeCell ref="A130:D130"/>
    <mergeCell ref="A141:D141"/>
  </mergeCells>
  <pageMargins left="0.7" right="0.7" top="0.75" bottom="0.75" header="0.3" footer="0.3"/>
  <pageSetup paperSize="9" orientation="portrait"/>
  <legacyDrawing r:id="rId1"/>
  <tableParts count="23">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3"/>
  <sheetViews>
    <sheetView showGridLines="0" topLeftCell="B1" zoomScale="84" zoomScaleNormal="84" workbookViewId="0">
      <selection activeCell="I14" sqref="I14"/>
    </sheetView>
  </sheetViews>
  <sheetFormatPr defaultColWidth="9" defaultRowHeight="15"/>
  <cols>
    <col min="1" max="1" width="65.42578125" customWidth="1"/>
    <col min="2" max="2" width="38.28515625" customWidth="1"/>
    <col min="3" max="3" width="11.42578125" customWidth="1"/>
    <col min="4" max="4" width="14" customWidth="1"/>
    <col min="5" max="5" width="14.28515625" customWidth="1"/>
    <col min="6" max="9" width="13.7109375" customWidth="1"/>
    <col min="10" max="10" width="12.5703125" customWidth="1"/>
    <col min="11" max="11" width="15.42578125" customWidth="1"/>
    <col min="12" max="12" width="12.42578125" customWidth="1"/>
    <col min="13" max="13" width="12.140625" customWidth="1"/>
    <col min="14" max="14" width="21.85546875" customWidth="1"/>
  </cols>
  <sheetData>
    <row r="1" spans="1:14">
      <c r="A1" s="155" t="s">
        <v>370</v>
      </c>
      <c r="B1" s="155"/>
      <c r="C1" s="155"/>
      <c r="D1" s="155"/>
      <c r="E1" s="155"/>
      <c r="F1" s="155"/>
      <c r="G1" s="155"/>
      <c r="H1" s="155"/>
      <c r="I1" s="155"/>
      <c r="J1" s="155"/>
      <c r="K1" s="155"/>
      <c r="L1" s="155"/>
      <c r="M1" s="155"/>
      <c r="N1" s="155"/>
    </row>
    <row r="2" spans="1:14" ht="45">
      <c r="A2" s="3" t="s">
        <v>3</v>
      </c>
      <c r="B2" s="3" t="s">
        <v>371</v>
      </c>
      <c r="C2" s="3" t="s">
        <v>372</v>
      </c>
      <c r="D2" s="3" t="s">
        <v>373</v>
      </c>
      <c r="E2" s="3" t="s">
        <v>374</v>
      </c>
      <c r="F2" s="3" t="s">
        <v>375</v>
      </c>
      <c r="G2" s="3" t="s">
        <v>376</v>
      </c>
      <c r="H2" s="3" t="s">
        <v>377</v>
      </c>
      <c r="I2" s="3" t="s">
        <v>378</v>
      </c>
      <c r="J2" s="6" t="s">
        <v>379</v>
      </c>
      <c r="K2" s="6" t="s">
        <v>380</v>
      </c>
      <c r="L2" s="6" t="s">
        <v>381</v>
      </c>
      <c r="M2" s="6" t="s">
        <v>382</v>
      </c>
      <c r="N2" s="6" t="s">
        <v>383</v>
      </c>
    </row>
    <row r="3" spans="1:14">
      <c r="A3" s="4" t="s">
        <v>384</v>
      </c>
      <c r="B3" s="5" t="s">
        <v>385</v>
      </c>
      <c r="C3" s="3"/>
      <c r="D3" s="6"/>
      <c r="E3" s="6"/>
      <c r="F3" s="6"/>
      <c r="G3" s="6"/>
      <c r="H3" s="6"/>
      <c r="I3" s="17"/>
      <c r="J3" s="6"/>
      <c r="K3" s="18"/>
      <c r="L3" s="19"/>
      <c r="M3" s="6"/>
      <c r="N3" s="18"/>
    </row>
    <row r="4" spans="1:14">
      <c r="A4" s="4" t="s">
        <v>327</v>
      </c>
      <c r="B4" s="5" t="s">
        <v>385</v>
      </c>
      <c r="C4" s="3"/>
      <c r="D4" s="6"/>
      <c r="E4" s="6"/>
      <c r="F4" s="6"/>
      <c r="G4" s="6"/>
      <c r="H4" s="6"/>
      <c r="I4" s="17"/>
      <c r="J4" s="6"/>
      <c r="K4" s="18"/>
      <c r="L4" s="19"/>
      <c r="M4" s="6"/>
      <c r="N4" s="18"/>
    </row>
    <row r="5" spans="1:14">
      <c r="A5" s="4" t="s">
        <v>335</v>
      </c>
      <c r="B5" s="5" t="s">
        <v>385</v>
      </c>
      <c r="C5" s="3"/>
      <c r="D5" s="6"/>
      <c r="E5" s="6"/>
      <c r="F5" s="6"/>
      <c r="G5" s="6"/>
      <c r="H5" s="6"/>
      <c r="I5" s="17"/>
      <c r="J5" s="6"/>
      <c r="K5" s="18"/>
      <c r="L5" s="19"/>
      <c r="M5" s="6"/>
      <c r="N5" s="18"/>
    </row>
    <row r="6" spans="1:14">
      <c r="A6" s="4" t="s">
        <v>350</v>
      </c>
      <c r="B6" s="5" t="s">
        <v>385</v>
      </c>
      <c r="C6" s="3"/>
      <c r="D6" s="6"/>
      <c r="E6" s="6"/>
      <c r="F6" s="6"/>
      <c r="G6" s="6"/>
      <c r="H6" s="6"/>
      <c r="I6" s="17"/>
      <c r="J6" s="6"/>
      <c r="K6" s="18"/>
      <c r="L6" s="19"/>
      <c r="M6" s="6"/>
      <c r="N6" s="18"/>
    </row>
    <row r="7" spans="1:14">
      <c r="A7" s="4" t="s">
        <v>330</v>
      </c>
      <c r="B7" s="5" t="s">
        <v>385</v>
      </c>
      <c r="C7" s="3"/>
      <c r="D7" s="6"/>
      <c r="E7" s="6"/>
      <c r="F7" s="6"/>
      <c r="G7" s="6"/>
      <c r="H7" s="6"/>
      <c r="I7" s="17"/>
      <c r="J7" s="6"/>
      <c r="K7" s="18"/>
      <c r="L7" s="19"/>
      <c r="M7" s="6"/>
      <c r="N7" s="18"/>
    </row>
    <row r="8" spans="1:14">
      <c r="A8" s="4" t="s">
        <v>366</v>
      </c>
      <c r="B8" s="5" t="s">
        <v>385</v>
      </c>
      <c r="C8" s="3"/>
      <c r="D8" s="6"/>
      <c r="E8" s="6"/>
      <c r="F8" s="6"/>
      <c r="G8" s="6"/>
      <c r="H8" s="6"/>
      <c r="I8" s="17"/>
      <c r="J8" s="6"/>
      <c r="K8" s="18"/>
      <c r="L8" s="19"/>
      <c r="M8" s="6"/>
      <c r="N8" s="18"/>
    </row>
    <row r="9" spans="1:14">
      <c r="A9" s="7" t="s">
        <v>367</v>
      </c>
      <c r="B9" s="8" t="s">
        <v>385</v>
      </c>
      <c r="C9" s="9"/>
      <c r="D9" s="10"/>
      <c r="E9" s="10"/>
      <c r="F9" s="10"/>
      <c r="G9" s="10"/>
      <c r="H9" s="10"/>
      <c r="I9" s="10"/>
      <c r="J9" s="10"/>
      <c r="K9" s="20"/>
      <c r="L9" s="21"/>
      <c r="M9" s="10"/>
      <c r="N9" s="20"/>
    </row>
    <row r="10" spans="1:14">
      <c r="A10" s="4" t="s">
        <v>368</v>
      </c>
      <c r="B10" s="5" t="s">
        <v>386</v>
      </c>
      <c r="C10" s="3"/>
      <c r="D10" s="6"/>
      <c r="E10" s="6"/>
      <c r="F10" s="6"/>
      <c r="G10" s="6"/>
      <c r="H10" s="6"/>
      <c r="I10" s="17"/>
      <c r="J10" s="6"/>
      <c r="K10" s="18"/>
      <c r="L10" s="19"/>
      <c r="M10" s="6"/>
      <c r="N10" s="18"/>
    </row>
    <row r="11" spans="1:14">
      <c r="A11" s="4" t="s">
        <v>362</v>
      </c>
      <c r="B11" s="5" t="s">
        <v>386</v>
      </c>
      <c r="C11" s="3"/>
      <c r="D11" s="6"/>
      <c r="E11" s="6"/>
      <c r="F11" s="6"/>
      <c r="G11" s="6"/>
      <c r="H11" s="6"/>
      <c r="I11" s="17"/>
      <c r="J11" s="6"/>
      <c r="K11" s="18"/>
      <c r="L11" s="19"/>
      <c r="M11" s="6"/>
      <c r="N11" s="18"/>
    </row>
    <row r="12" spans="1:14">
      <c r="A12" s="4" t="s">
        <v>387</v>
      </c>
      <c r="B12" s="5" t="s">
        <v>386</v>
      </c>
      <c r="C12" s="3"/>
      <c r="D12" s="6"/>
      <c r="E12" s="6"/>
      <c r="F12" s="6"/>
      <c r="G12" s="6"/>
      <c r="H12" s="6"/>
      <c r="I12" s="17"/>
      <c r="J12" s="6"/>
      <c r="K12" s="18"/>
      <c r="L12" s="19"/>
      <c r="M12" s="6"/>
      <c r="N12" s="18"/>
    </row>
    <row r="13" spans="1:14">
      <c r="A13" s="4" t="s">
        <v>369</v>
      </c>
      <c r="B13" s="5" t="s">
        <v>386</v>
      </c>
      <c r="C13" s="3"/>
      <c r="D13" s="6"/>
      <c r="E13" s="6"/>
      <c r="F13" s="6"/>
      <c r="G13" s="6"/>
      <c r="H13" s="6"/>
      <c r="I13" s="17"/>
      <c r="J13" s="6"/>
      <c r="K13" s="18"/>
      <c r="L13" s="19"/>
      <c r="M13" s="6"/>
      <c r="N13" s="18"/>
    </row>
    <row r="14" spans="1:14">
      <c r="A14" s="4" t="s">
        <v>388</v>
      </c>
      <c r="B14" s="5" t="s">
        <v>386</v>
      </c>
      <c r="C14" s="3"/>
      <c r="D14" s="6"/>
      <c r="E14" s="6"/>
      <c r="F14" s="6"/>
      <c r="G14" s="6"/>
      <c r="H14" s="6"/>
      <c r="I14" s="17"/>
      <c r="J14" s="6"/>
      <c r="K14" s="18"/>
      <c r="L14" s="19"/>
      <c r="M14" s="6"/>
      <c r="N14" s="18"/>
    </row>
    <row r="15" spans="1:14">
      <c r="A15" s="4" t="s">
        <v>389</v>
      </c>
      <c r="B15" s="5" t="s">
        <v>386</v>
      </c>
      <c r="C15" s="3"/>
      <c r="D15" s="6"/>
      <c r="E15" s="6"/>
      <c r="F15" s="6"/>
      <c r="G15" s="6"/>
      <c r="H15" s="6"/>
      <c r="I15" s="17"/>
      <c r="J15" s="6"/>
      <c r="K15" s="18"/>
      <c r="L15" s="19"/>
      <c r="M15" s="6"/>
      <c r="N15" s="18"/>
    </row>
    <row r="16" spans="1:14">
      <c r="A16" s="4" t="s">
        <v>390</v>
      </c>
      <c r="B16" s="5" t="s">
        <v>391</v>
      </c>
      <c r="C16" s="3"/>
      <c r="D16" s="6"/>
      <c r="E16" s="6"/>
      <c r="F16" s="6"/>
      <c r="G16" s="6"/>
      <c r="H16" s="6"/>
      <c r="I16" s="17"/>
      <c r="J16" s="6"/>
      <c r="K16" s="18"/>
      <c r="L16" s="19"/>
      <c r="M16" s="6"/>
      <c r="N16" s="18"/>
    </row>
    <row r="17" spans="1:14">
      <c r="A17" s="4" t="s">
        <v>392</v>
      </c>
      <c r="B17" s="5" t="s">
        <v>391</v>
      </c>
      <c r="C17" s="3"/>
      <c r="D17" s="6"/>
      <c r="E17" s="6"/>
      <c r="F17" s="6"/>
      <c r="G17" s="6"/>
      <c r="H17" s="6"/>
      <c r="I17" s="17"/>
      <c r="J17" s="6"/>
      <c r="K17" s="18"/>
      <c r="L17" s="19"/>
      <c r="M17" s="6"/>
      <c r="N17" s="18"/>
    </row>
    <row r="18" spans="1:14">
      <c r="A18" s="4" t="s">
        <v>393</v>
      </c>
      <c r="B18" s="5" t="s">
        <v>391</v>
      </c>
      <c r="C18" s="3"/>
      <c r="D18" s="6"/>
      <c r="E18" s="6"/>
      <c r="F18" s="6"/>
      <c r="G18" s="6"/>
      <c r="H18" s="6"/>
      <c r="I18" s="17"/>
      <c r="J18" s="6"/>
      <c r="K18" s="18"/>
      <c r="L18" s="19"/>
      <c r="M18" s="6"/>
      <c r="N18" s="18"/>
    </row>
    <row r="19" spans="1:14">
      <c r="A19" s="4" t="s">
        <v>394</v>
      </c>
      <c r="B19" s="11" t="s">
        <v>394</v>
      </c>
      <c r="C19" s="12"/>
      <c r="D19" s="13"/>
      <c r="E19" s="13"/>
      <c r="F19" s="6"/>
      <c r="G19" s="6"/>
      <c r="H19" s="6"/>
      <c r="I19" s="17"/>
      <c r="J19" s="6"/>
      <c r="K19" s="18"/>
      <c r="L19" s="19"/>
      <c r="M19" s="6"/>
      <c r="N19" s="18"/>
    </row>
    <row r="20" spans="1:14">
      <c r="A20" s="14" t="s">
        <v>44</v>
      </c>
      <c r="B20" s="15"/>
      <c r="C20" s="15"/>
      <c r="D20" s="6"/>
      <c r="E20" s="6"/>
      <c r="F20" s="6"/>
      <c r="G20" s="6"/>
      <c r="H20" s="6"/>
      <c r="I20" s="6"/>
      <c r="J20" s="6"/>
      <c r="K20" s="22">
        <f>SUBTOTAL(109,Table328[Qtde. Serventes])</f>
        <v>0</v>
      </c>
      <c r="L20" s="22">
        <f>ROUND(K20,0)</f>
        <v>0</v>
      </c>
      <c r="M20" s="18">
        <f>SUBTOTAL(109,Table328[Qte ajustada])</f>
        <v>0</v>
      </c>
      <c r="N20" s="6"/>
    </row>
    <row r="22" spans="1:14" ht="15.75" thickBot="1">
      <c r="A22" s="16" t="s">
        <v>175</v>
      </c>
      <c r="B22" s="16">
        <f>TRUNC(IF(M20&gt;30,2,1),2)</f>
        <v>1</v>
      </c>
    </row>
    <row r="23" spans="1:14" ht="15.75" thickTop="1"/>
  </sheetData>
  <mergeCells count="1">
    <mergeCell ref="A1:N1"/>
  </mergeCells>
  <pageMargins left="0.7" right="0.7" top="0.75" bottom="0.75" header="0.3" footer="0.3"/>
  <pageSetup paperSize="9" orientation="portrait"/>
  <legacyDrawing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9"/>
  <sheetViews>
    <sheetView topLeftCell="L1" workbookViewId="0">
      <selection activeCell="X9" sqref="X9:Y9"/>
    </sheetView>
  </sheetViews>
  <sheetFormatPr defaultColWidth="9.140625" defaultRowHeight="15"/>
  <cols>
    <col min="6" max="6" width="10.42578125" customWidth="1"/>
    <col min="8" max="8" width="11.7109375" customWidth="1"/>
    <col min="10" max="10" width="10" customWidth="1"/>
    <col min="17" max="17" width="16.140625" customWidth="1"/>
    <col min="20" max="20" width="11.5703125" customWidth="1"/>
    <col min="21" max="21" width="8.85546875" customWidth="1"/>
    <col min="22" max="23" width="8.140625" customWidth="1"/>
    <col min="29" max="29" width="14.140625"/>
  </cols>
  <sheetData>
    <row r="1" spans="1:29" ht="15.75">
      <c r="A1" s="179" t="s">
        <v>395</v>
      </c>
      <c r="B1" s="179"/>
      <c r="C1" s="179"/>
      <c r="D1" s="179"/>
      <c r="E1" s="179"/>
      <c r="F1" s="179"/>
      <c r="G1" s="179"/>
      <c r="H1" s="179"/>
      <c r="I1" s="179"/>
      <c r="J1" s="179"/>
      <c r="K1" s="1"/>
    </row>
    <row r="2" spans="1:29">
      <c r="A2" s="183" t="s">
        <v>396</v>
      </c>
      <c r="B2" s="183"/>
      <c r="C2" s="183"/>
      <c r="D2" s="183"/>
      <c r="E2" s="180" t="s">
        <v>397</v>
      </c>
      <c r="F2" s="180"/>
      <c r="G2" s="180" t="s">
        <v>398</v>
      </c>
      <c r="H2" s="180"/>
      <c r="I2" s="180" t="s">
        <v>399</v>
      </c>
      <c r="J2" s="180"/>
      <c r="K2" s="1"/>
      <c r="M2" s="183" t="s">
        <v>400</v>
      </c>
      <c r="N2" s="183"/>
      <c r="O2" s="183"/>
      <c r="P2" s="183"/>
      <c r="Q2" s="183"/>
      <c r="R2" s="183"/>
      <c r="S2" s="183"/>
      <c r="T2" s="183"/>
      <c r="U2" s="180" t="s">
        <v>401</v>
      </c>
      <c r="V2" s="180"/>
      <c r="W2" s="180"/>
      <c r="X2" s="180" t="s">
        <v>402</v>
      </c>
      <c r="Y2" s="180"/>
      <c r="Z2" s="180" t="s">
        <v>403</v>
      </c>
      <c r="AA2" s="180"/>
      <c r="AB2" s="180"/>
    </row>
    <row r="3" spans="1:29">
      <c r="A3" s="183"/>
      <c r="B3" s="183"/>
      <c r="C3" s="183"/>
      <c r="D3" s="183"/>
      <c r="E3" s="181" t="s">
        <v>404</v>
      </c>
      <c r="F3" s="181"/>
      <c r="G3" s="181" t="s">
        <v>405</v>
      </c>
      <c r="H3" s="181"/>
      <c r="I3" s="181" t="s">
        <v>403</v>
      </c>
      <c r="J3" s="181"/>
      <c r="K3" s="1"/>
      <c r="M3" s="183"/>
      <c r="N3" s="183"/>
      <c r="O3" s="183"/>
      <c r="P3" s="183"/>
      <c r="Q3" s="183"/>
      <c r="R3" s="183"/>
      <c r="S3" s="183"/>
      <c r="T3" s="183"/>
      <c r="U3" s="191" t="s">
        <v>406</v>
      </c>
      <c r="V3" s="191"/>
      <c r="W3" s="191"/>
      <c r="X3" s="182" t="s">
        <v>407</v>
      </c>
      <c r="Y3" s="182"/>
      <c r="Z3" s="182" t="s">
        <v>408</v>
      </c>
      <c r="AA3" s="182"/>
      <c r="AB3" s="182"/>
    </row>
    <row r="4" spans="1:29">
      <c r="A4" s="183"/>
      <c r="B4" s="183"/>
      <c r="C4" s="183"/>
      <c r="D4" s="183"/>
      <c r="E4" s="182" t="s">
        <v>409</v>
      </c>
      <c r="F4" s="182"/>
      <c r="G4" s="182" t="s">
        <v>408</v>
      </c>
      <c r="H4" s="182"/>
      <c r="I4" s="182" t="s">
        <v>406</v>
      </c>
      <c r="J4" s="182"/>
      <c r="K4" s="1"/>
      <c r="M4" s="187" t="str">
        <f>A1</f>
        <v>ÁREA INTERNA - PISOS FRIOS</v>
      </c>
      <c r="N4" s="187"/>
      <c r="O4" s="187"/>
      <c r="P4" s="187"/>
      <c r="Q4" s="187"/>
      <c r="R4" s="187"/>
      <c r="S4" s="187"/>
      <c r="T4" s="187"/>
      <c r="U4" s="188" t="e">
        <f>I7</f>
        <v>#DIV/0!</v>
      </c>
      <c r="V4" s="188"/>
      <c r="W4" s="188"/>
      <c r="X4" s="189">
        <f>'Tipos de Área e Produtivida'!C4</f>
        <v>0</v>
      </c>
      <c r="Y4" s="189"/>
      <c r="Z4" s="190" t="e">
        <f>TRUNC(X4*U4,2)</f>
        <v>#DIV/0!</v>
      </c>
      <c r="AA4" s="190"/>
      <c r="AB4" s="190"/>
      <c r="AC4" s="2"/>
    </row>
    <row r="5" spans="1:29">
      <c r="A5" s="174" t="s">
        <v>410</v>
      </c>
      <c r="B5" s="174"/>
      <c r="C5" s="174"/>
      <c r="D5" s="174"/>
      <c r="E5" s="175" t="s">
        <v>411</v>
      </c>
      <c r="F5" s="175"/>
      <c r="G5" s="176">
        <f>'Encarregado (Líder)'!$D$130</f>
        <v>0</v>
      </c>
      <c r="H5" s="176"/>
      <c r="I5" s="176" t="e">
        <f>TRUNC(1/(15*'Tipos de Área e Produtivida'!N4)*G5,2)</f>
        <v>#DIV/0!</v>
      </c>
      <c r="J5" s="176"/>
      <c r="K5" s="1"/>
      <c r="M5" s="187" t="str">
        <f>A9</f>
        <v>ÁREA INTERNA - LABORATÓRIOS</v>
      </c>
      <c r="N5" s="187"/>
      <c r="O5" s="187"/>
      <c r="P5" s="187"/>
      <c r="Q5" s="187"/>
      <c r="R5" s="187"/>
      <c r="S5" s="187"/>
      <c r="T5" s="187"/>
      <c r="U5" s="188" t="e">
        <f>I15</f>
        <v>#DIV/0!</v>
      </c>
      <c r="V5" s="188"/>
      <c r="W5" s="188"/>
      <c r="X5" s="189">
        <f>'Tipos de Área e Produtivida'!C5</f>
        <v>0</v>
      </c>
      <c r="Y5" s="189"/>
      <c r="Z5" s="190" t="e">
        <f t="shared" ref="Z5:Z12" si="0">TRUNC(X5*U5,2)</f>
        <v>#DIV/0!</v>
      </c>
      <c r="AA5" s="190"/>
      <c r="AB5" s="190"/>
      <c r="AC5" s="2"/>
    </row>
    <row r="6" spans="1:29">
      <c r="A6" s="174" t="s">
        <v>412</v>
      </c>
      <c r="B6" s="174"/>
      <c r="C6" s="174"/>
      <c r="D6" s="174"/>
      <c r="E6" s="175" t="s">
        <v>413</v>
      </c>
      <c r="F6" s="175"/>
      <c r="G6" s="176">
        <f>'ASG sem Insalubridade'!$D$129</f>
        <v>0</v>
      </c>
      <c r="H6" s="176"/>
      <c r="I6" s="176" t="e">
        <f>TRUNC((1/'Tipos de Área e Produtivida'!N4)*G6,2)</f>
        <v>#DIV/0!</v>
      </c>
      <c r="J6" s="176"/>
      <c r="K6" s="1"/>
      <c r="M6" s="187" t="str">
        <f>A17</f>
        <v>ÁREA INTERNA - ALMOXARIFADOS | GALPÕES</v>
      </c>
      <c r="N6" s="187"/>
      <c r="O6" s="187"/>
      <c r="P6" s="187"/>
      <c r="Q6" s="187"/>
      <c r="R6" s="187"/>
      <c r="S6" s="187"/>
      <c r="T6" s="187"/>
      <c r="U6" s="188" t="e">
        <f>I23</f>
        <v>#DIV/0!</v>
      </c>
      <c r="V6" s="188"/>
      <c r="W6" s="188"/>
      <c r="X6" s="189">
        <f>'Tipos de Área e Produtivida'!C6</f>
        <v>0</v>
      </c>
      <c r="Y6" s="189"/>
      <c r="Z6" s="190" t="e">
        <f t="shared" si="0"/>
        <v>#DIV/0!</v>
      </c>
      <c r="AA6" s="190"/>
      <c r="AB6" s="190"/>
      <c r="AC6" s="2"/>
    </row>
    <row r="7" spans="1:29">
      <c r="A7" s="177" t="s">
        <v>179</v>
      </c>
      <c r="B7" s="177"/>
      <c r="C7" s="177"/>
      <c r="D7" s="177"/>
      <c r="E7" s="177"/>
      <c r="F7" s="177"/>
      <c r="G7" s="177"/>
      <c r="H7" s="177"/>
      <c r="I7" s="178" t="e">
        <f>TRUNC(SUM(I5:J6),2)</f>
        <v>#DIV/0!</v>
      </c>
      <c r="J7" s="178"/>
      <c r="K7" s="1"/>
      <c r="M7" s="187" t="str">
        <f>A25</f>
        <v>ÁREA INTERNA - OFICINAS</v>
      </c>
      <c r="N7" s="187"/>
      <c r="O7" s="187"/>
      <c r="P7" s="187"/>
      <c r="Q7" s="187"/>
      <c r="R7" s="187"/>
      <c r="S7" s="187"/>
      <c r="T7" s="187"/>
      <c r="U7" s="188" t="e">
        <f>I31</f>
        <v>#DIV/0!</v>
      </c>
      <c r="V7" s="188"/>
      <c r="W7" s="188"/>
      <c r="X7" s="189">
        <f>'Tipos de Área e Produtivida'!C7</f>
        <v>0</v>
      </c>
      <c r="Y7" s="189"/>
      <c r="Z7" s="190" t="e">
        <f t="shared" si="0"/>
        <v>#DIV/0!</v>
      </c>
      <c r="AA7" s="190"/>
      <c r="AB7" s="190"/>
      <c r="AC7" s="2"/>
    </row>
    <row r="8" spans="1:29">
      <c r="A8" s="184"/>
      <c r="B8" s="184"/>
      <c r="C8" s="184"/>
      <c r="D8" s="184"/>
      <c r="E8" s="184"/>
      <c r="F8" s="184"/>
      <c r="G8" s="184"/>
      <c r="H8" s="184"/>
      <c r="I8" s="184"/>
      <c r="J8" s="184"/>
      <c r="K8" s="1"/>
      <c r="M8" s="187" t="str">
        <f>A33</f>
        <v>ÁREA INTERNA - ÁREAS COM ESPAÇOS LIVRES - SAGUÃO | HALL | SALÃO</v>
      </c>
      <c r="N8" s="187"/>
      <c r="O8" s="187"/>
      <c r="P8" s="187"/>
      <c r="Q8" s="187"/>
      <c r="R8" s="187"/>
      <c r="S8" s="187"/>
      <c r="T8" s="187"/>
      <c r="U8" s="188" t="e">
        <f>I39</f>
        <v>#DIV/0!</v>
      </c>
      <c r="V8" s="188"/>
      <c r="W8" s="188"/>
      <c r="X8" s="189">
        <f>'Tipos de Área e Produtivida'!C8</f>
        <v>0</v>
      </c>
      <c r="Y8" s="189"/>
      <c r="Z8" s="190" t="e">
        <f t="shared" si="0"/>
        <v>#DIV/0!</v>
      </c>
      <c r="AA8" s="190"/>
      <c r="AB8" s="190"/>
      <c r="AC8" s="2"/>
    </row>
    <row r="9" spans="1:29" ht="15.75">
      <c r="A9" s="179" t="s">
        <v>414</v>
      </c>
      <c r="B9" s="179"/>
      <c r="C9" s="179"/>
      <c r="D9" s="179"/>
      <c r="E9" s="179"/>
      <c r="F9" s="179"/>
      <c r="G9" s="179"/>
      <c r="H9" s="179"/>
      <c r="I9" s="179"/>
      <c r="J9" s="179"/>
      <c r="K9" s="1"/>
      <c r="M9" s="187" t="str">
        <f>A41</f>
        <v>ÁREA INTERNA - BANHEIROS</v>
      </c>
      <c r="N9" s="187"/>
      <c r="O9" s="187"/>
      <c r="P9" s="187"/>
      <c r="Q9" s="187"/>
      <c r="R9" s="187"/>
      <c r="S9" s="187"/>
      <c r="T9" s="187"/>
      <c r="U9" s="188" t="e">
        <f>I47</f>
        <v>#DIV/0!</v>
      </c>
      <c r="V9" s="188"/>
      <c r="W9" s="188"/>
      <c r="X9" s="189">
        <v>0</v>
      </c>
      <c r="Y9" s="189"/>
      <c r="Z9" s="190" t="e">
        <f t="shared" si="0"/>
        <v>#DIV/0!</v>
      </c>
      <c r="AA9" s="190"/>
      <c r="AB9" s="190"/>
      <c r="AC9" s="2"/>
    </row>
    <row r="10" spans="1:29">
      <c r="A10" s="183" t="s">
        <v>396</v>
      </c>
      <c r="B10" s="183"/>
      <c r="C10" s="183"/>
      <c r="D10" s="183"/>
      <c r="E10" s="180" t="s">
        <v>397</v>
      </c>
      <c r="F10" s="180"/>
      <c r="G10" s="180" t="s">
        <v>398</v>
      </c>
      <c r="H10" s="180"/>
      <c r="I10" s="180" t="s">
        <v>399</v>
      </c>
      <c r="J10" s="180"/>
      <c r="K10" s="1"/>
      <c r="M10" s="187" t="str">
        <f>A49</f>
        <v>ÁREA EXTERNA - PISOS PAVIMENTADOS ADJACENTES | CONTÍGUOS ÀS EDIFICAÇÕES</v>
      </c>
      <c r="N10" s="187"/>
      <c r="O10" s="187"/>
      <c r="P10" s="187"/>
      <c r="Q10" s="187"/>
      <c r="R10" s="187"/>
      <c r="S10" s="187"/>
      <c r="T10" s="187"/>
      <c r="U10" s="188" t="e">
        <f>I55</f>
        <v>#DIV/0!</v>
      </c>
      <c r="V10" s="188"/>
      <c r="W10" s="188"/>
      <c r="X10" s="189">
        <f>'Tipos de Área e Produtivida'!C10</f>
        <v>0</v>
      </c>
      <c r="Y10" s="189"/>
      <c r="Z10" s="190" t="e">
        <f t="shared" si="0"/>
        <v>#DIV/0!</v>
      </c>
      <c r="AA10" s="190"/>
      <c r="AB10" s="190"/>
      <c r="AC10" s="2"/>
    </row>
    <row r="11" spans="1:29">
      <c r="A11" s="183"/>
      <c r="B11" s="183"/>
      <c r="C11" s="183"/>
      <c r="D11" s="183"/>
      <c r="E11" s="181" t="s">
        <v>404</v>
      </c>
      <c r="F11" s="181"/>
      <c r="G11" s="181" t="s">
        <v>405</v>
      </c>
      <c r="H11" s="181"/>
      <c r="I11" s="181" t="s">
        <v>403</v>
      </c>
      <c r="J11" s="181"/>
      <c r="K11" s="1"/>
      <c r="M11" s="187" t="str">
        <f>A57</f>
        <v>ÁREA EXTERNA - VARRIÇÃO DE PASSEIOS E ARRUAMENTOS</v>
      </c>
      <c r="N11" s="187"/>
      <c r="O11" s="187"/>
      <c r="P11" s="187"/>
      <c r="Q11" s="187"/>
      <c r="R11" s="187"/>
      <c r="S11" s="187"/>
      <c r="T11" s="187"/>
      <c r="U11" s="188" t="e">
        <f>I63</f>
        <v>#DIV/0!</v>
      </c>
      <c r="V11" s="188"/>
      <c r="W11" s="188"/>
      <c r="X11" s="189">
        <f>'Tipos de Área e Produtivida'!C11</f>
        <v>0</v>
      </c>
      <c r="Y11" s="189"/>
      <c r="Z11" s="190" t="e">
        <f t="shared" si="0"/>
        <v>#DIV/0!</v>
      </c>
      <c r="AA11" s="190"/>
      <c r="AB11" s="190"/>
      <c r="AC11" s="2"/>
    </row>
    <row r="12" spans="1:29">
      <c r="A12" s="183"/>
      <c r="B12" s="183"/>
      <c r="C12" s="183"/>
      <c r="D12" s="183"/>
      <c r="E12" s="182" t="s">
        <v>409</v>
      </c>
      <c r="F12" s="182"/>
      <c r="G12" s="182" t="s">
        <v>408</v>
      </c>
      <c r="H12" s="182"/>
      <c r="I12" s="182" t="s">
        <v>406</v>
      </c>
      <c r="J12" s="182"/>
      <c r="K12" s="1"/>
      <c r="M12" s="187" t="str">
        <f>A65</f>
        <v>ÁREA EXTERNA - PÁTIOS E ÁREAS VERDES COM MÉDIA FREQUÊNCIA</v>
      </c>
      <c r="N12" s="187"/>
      <c r="O12" s="187"/>
      <c r="P12" s="187"/>
      <c r="Q12" s="187"/>
      <c r="R12" s="187"/>
      <c r="S12" s="187"/>
      <c r="T12" s="187"/>
      <c r="U12" s="188" t="e">
        <f>I71</f>
        <v>#DIV/0!</v>
      </c>
      <c r="V12" s="188"/>
      <c r="W12" s="188"/>
      <c r="X12" s="189">
        <f>'Tipos de Área e Produtivida'!C13</f>
        <v>0</v>
      </c>
      <c r="Y12" s="189"/>
      <c r="Z12" s="190" t="e">
        <f t="shared" si="0"/>
        <v>#DIV/0!</v>
      </c>
      <c r="AA12" s="190"/>
      <c r="AB12" s="190"/>
      <c r="AC12" s="2"/>
    </row>
    <row r="13" spans="1:29">
      <c r="A13" s="171" t="s">
        <v>410</v>
      </c>
      <c r="B13" s="172"/>
      <c r="C13" s="172"/>
      <c r="D13" s="173"/>
      <c r="E13" s="169" t="s">
        <v>411</v>
      </c>
      <c r="F13" s="170"/>
      <c r="G13" s="167">
        <f>'Encarregado (Líder)'!$D$130</f>
        <v>0</v>
      </c>
      <c r="H13" s="168"/>
      <c r="I13" s="167" t="e">
        <f>TRUNC(1/(15*'Tipos de Área e Produtivida'!N5)*G13,2)</f>
        <v>#DIV/0!</v>
      </c>
      <c r="J13" s="168"/>
      <c r="K13" s="1"/>
      <c r="M13" s="164"/>
      <c r="N13" s="165"/>
      <c r="O13" s="165"/>
      <c r="P13" s="165"/>
      <c r="Q13" s="165"/>
      <c r="R13" s="165"/>
      <c r="S13" s="165"/>
      <c r="T13" s="166"/>
      <c r="U13" s="161"/>
      <c r="V13" s="162"/>
      <c r="W13" s="163"/>
      <c r="X13" s="159"/>
      <c r="Y13" s="160"/>
      <c r="Z13" s="156"/>
      <c r="AA13" s="157"/>
      <c r="AB13" s="158"/>
      <c r="AC13" s="2"/>
    </row>
    <row r="14" spans="1:29">
      <c r="A14" s="174" t="s">
        <v>412</v>
      </c>
      <c r="B14" s="174"/>
      <c r="C14" s="174"/>
      <c r="D14" s="174"/>
      <c r="E14" s="175" t="s">
        <v>413</v>
      </c>
      <c r="F14" s="175"/>
      <c r="G14" s="176">
        <f>'ASG sem Insalubridade'!$D$129</f>
        <v>0</v>
      </c>
      <c r="H14" s="176"/>
      <c r="I14" s="176" t="e">
        <f>TRUNC((1/'Tipos de Área e Produtivida'!N5)*G14,2)</f>
        <v>#DIV/0!</v>
      </c>
      <c r="J14" s="176"/>
      <c r="K14" s="1"/>
      <c r="M14" s="183" t="s">
        <v>415</v>
      </c>
      <c r="N14" s="183"/>
      <c r="O14" s="183"/>
      <c r="P14" s="183"/>
      <c r="Q14" s="183"/>
      <c r="R14" s="183"/>
      <c r="S14" s="183"/>
      <c r="T14" s="183"/>
      <c r="U14" s="180"/>
      <c r="V14" s="180"/>
      <c r="W14" s="180"/>
      <c r="X14" s="180"/>
      <c r="Y14" s="180"/>
      <c r="Z14" s="186" t="e">
        <f>TRUNC(SUM(Z4:AB13),2)</f>
        <v>#DIV/0!</v>
      </c>
      <c r="AA14" s="186"/>
      <c r="AB14" s="186"/>
    </row>
    <row r="15" spans="1:29">
      <c r="A15" s="177" t="s">
        <v>179</v>
      </c>
      <c r="B15" s="177"/>
      <c r="C15" s="177"/>
      <c r="D15" s="177"/>
      <c r="E15" s="177"/>
      <c r="F15" s="177"/>
      <c r="G15" s="177"/>
      <c r="H15" s="177"/>
      <c r="I15" s="178" t="e">
        <f>TRUNC(SUM(I13:J14),2)</f>
        <v>#DIV/0!</v>
      </c>
      <c r="J15" s="178"/>
      <c r="K15" s="1"/>
      <c r="M15" s="183" t="s">
        <v>416</v>
      </c>
      <c r="N15" s="183"/>
      <c r="O15" s="183"/>
      <c r="P15" s="183"/>
      <c r="Q15" s="183"/>
      <c r="R15" s="183"/>
      <c r="S15" s="183"/>
      <c r="T15" s="183"/>
      <c r="U15" s="180"/>
      <c r="V15" s="180"/>
      <c r="W15" s="180"/>
      <c r="X15" s="180"/>
      <c r="Y15" s="180"/>
      <c r="Z15" s="186" t="e">
        <f>TRUNC(Z14*12,2)</f>
        <v>#DIV/0!</v>
      </c>
      <c r="AA15" s="186"/>
      <c r="AB15" s="186"/>
    </row>
    <row r="16" spans="1:29">
      <c r="A16" s="185"/>
      <c r="B16" s="185"/>
      <c r="C16" s="185"/>
      <c r="D16" s="185"/>
      <c r="E16" s="185"/>
      <c r="F16" s="185"/>
      <c r="G16" s="185"/>
      <c r="H16" s="185"/>
      <c r="I16" s="185"/>
      <c r="J16" s="185"/>
      <c r="K16" s="1"/>
    </row>
    <row r="17" spans="1:11" ht="15.75">
      <c r="A17" s="179" t="s">
        <v>417</v>
      </c>
      <c r="B17" s="179"/>
      <c r="C17" s="179"/>
      <c r="D17" s="179"/>
      <c r="E17" s="179"/>
      <c r="F17" s="179"/>
      <c r="G17" s="179"/>
      <c r="H17" s="179"/>
      <c r="I17" s="179"/>
      <c r="J17" s="179"/>
      <c r="K17" s="1"/>
    </row>
    <row r="18" spans="1:11">
      <c r="A18" s="183" t="s">
        <v>396</v>
      </c>
      <c r="B18" s="183"/>
      <c r="C18" s="183"/>
      <c r="D18" s="183"/>
      <c r="E18" s="180" t="s">
        <v>397</v>
      </c>
      <c r="F18" s="180"/>
      <c r="G18" s="180" t="s">
        <v>398</v>
      </c>
      <c r="H18" s="180"/>
      <c r="I18" s="180" t="s">
        <v>399</v>
      </c>
      <c r="J18" s="180"/>
      <c r="K18" s="1"/>
    </row>
    <row r="19" spans="1:11">
      <c r="A19" s="183"/>
      <c r="B19" s="183"/>
      <c r="C19" s="183"/>
      <c r="D19" s="183"/>
      <c r="E19" s="181" t="s">
        <v>404</v>
      </c>
      <c r="F19" s="181"/>
      <c r="G19" s="181" t="s">
        <v>405</v>
      </c>
      <c r="H19" s="181"/>
      <c r="I19" s="181" t="s">
        <v>403</v>
      </c>
      <c r="J19" s="181"/>
      <c r="K19" s="1"/>
    </row>
    <row r="20" spans="1:11">
      <c r="A20" s="183"/>
      <c r="B20" s="183"/>
      <c r="C20" s="183"/>
      <c r="D20" s="183"/>
      <c r="E20" s="182" t="s">
        <v>409</v>
      </c>
      <c r="F20" s="182"/>
      <c r="G20" s="182" t="s">
        <v>408</v>
      </c>
      <c r="H20" s="182"/>
      <c r="I20" s="182" t="s">
        <v>406</v>
      </c>
      <c r="J20" s="182"/>
      <c r="K20" s="1"/>
    </row>
    <row r="21" spans="1:11">
      <c r="A21" s="174" t="s">
        <v>410</v>
      </c>
      <c r="B21" s="174"/>
      <c r="C21" s="174"/>
      <c r="D21" s="174"/>
      <c r="E21" s="175" t="s">
        <v>411</v>
      </c>
      <c r="F21" s="175"/>
      <c r="G21" s="176">
        <f>'Encarregado (Líder)'!$D$130</f>
        <v>0</v>
      </c>
      <c r="H21" s="176"/>
      <c r="I21" s="176" t="e">
        <f>TRUNC(1/(15*'Tipos de Área e Produtivida'!N6)*G21,2)</f>
        <v>#DIV/0!</v>
      </c>
      <c r="J21" s="176"/>
      <c r="K21" s="1"/>
    </row>
    <row r="22" spans="1:11">
      <c r="A22" s="174" t="s">
        <v>412</v>
      </c>
      <c r="B22" s="174"/>
      <c r="C22" s="174"/>
      <c r="D22" s="174"/>
      <c r="E22" s="175" t="s">
        <v>413</v>
      </c>
      <c r="F22" s="175"/>
      <c r="G22" s="176">
        <f>'ASG sem Insalubridade'!$D$129</f>
        <v>0</v>
      </c>
      <c r="H22" s="176"/>
      <c r="I22" s="176" t="e">
        <f>TRUNC((1/'Tipos de Área e Produtivida'!N6)*G22,2)</f>
        <v>#DIV/0!</v>
      </c>
      <c r="J22" s="176"/>
      <c r="K22" s="1"/>
    </row>
    <row r="23" spans="1:11">
      <c r="A23" s="177" t="s">
        <v>179</v>
      </c>
      <c r="B23" s="177"/>
      <c r="C23" s="177"/>
      <c r="D23" s="177"/>
      <c r="E23" s="177"/>
      <c r="F23" s="177"/>
      <c r="G23" s="177"/>
      <c r="H23" s="177"/>
      <c r="I23" s="178" t="e">
        <f>TRUNC(SUM(I21:J22),2)</f>
        <v>#DIV/0!</v>
      </c>
      <c r="J23" s="178"/>
      <c r="K23" s="1"/>
    </row>
    <row r="24" spans="1:11">
      <c r="A24" s="184"/>
      <c r="B24" s="184"/>
      <c r="C24" s="184"/>
      <c r="D24" s="184"/>
      <c r="E24" s="184"/>
      <c r="F24" s="184"/>
      <c r="G24" s="184"/>
      <c r="H24" s="184"/>
      <c r="I24" s="184"/>
      <c r="J24" s="184"/>
      <c r="K24" s="1"/>
    </row>
    <row r="25" spans="1:11" ht="15.75">
      <c r="A25" s="179" t="s">
        <v>418</v>
      </c>
      <c r="B25" s="179"/>
      <c r="C25" s="179"/>
      <c r="D25" s="179"/>
      <c r="E25" s="179"/>
      <c r="F25" s="179"/>
      <c r="G25" s="179"/>
      <c r="H25" s="179"/>
      <c r="I25" s="179"/>
      <c r="J25" s="179"/>
      <c r="K25" s="1"/>
    </row>
    <row r="26" spans="1:11">
      <c r="A26" s="183" t="s">
        <v>396</v>
      </c>
      <c r="B26" s="183"/>
      <c r="C26" s="183"/>
      <c r="D26" s="183"/>
      <c r="E26" s="180" t="s">
        <v>397</v>
      </c>
      <c r="F26" s="180"/>
      <c r="G26" s="180" t="s">
        <v>398</v>
      </c>
      <c r="H26" s="180"/>
      <c r="I26" s="180" t="s">
        <v>399</v>
      </c>
      <c r="J26" s="180"/>
      <c r="K26" s="1"/>
    </row>
    <row r="27" spans="1:11">
      <c r="A27" s="183"/>
      <c r="B27" s="183"/>
      <c r="C27" s="183"/>
      <c r="D27" s="183"/>
      <c r="E27" s="181" t="s">
        <v>404</v>
      </c>
      <c r="F27" s="181"/>
      <c r="G27" s="181" t="s">
        <v>405</v>
      </c>
      <c r="H27" s="181"/>
      <c r="I27" s="181" t="s">
        <v>403</v>
      </c>
      <c r="J27" s="181"/>
      <c r="K27" s="1"/>
    </row>
    <row r="28" spans="1:11">
      <c r="A28" s="183"/>
      <c r="B28" s="183"/>
      <c r="C28" s="183"/>
      <c r="D28" s="183"/>
      <c r="E28" s="182" t="s">
        <v>409</v>
      </c>
      <c r="F28" s="182"/>
      <c r="G28" s="182" t="s">
        <v>408</v>
      </c>
      <c r="H28" s="182"/>
      <c r="I28" s="182" t="s">
        <v>406</v>
      </c>
      <c r="J28" s="182"/>
      <c r="K28" s="1"/>
    </row>
    <row r="29" spans="1:11">
      <c r="A29" s="174" t="s">
        <v>410</v>
      </c>
      <c r="B29" s="174"/>
      <c r="C29" s="174"/>
      <c r="D29" s="174"/>
      <c r="E29" s="175" t="s">
        <v>411</v>
      </c>
      <c r="F29" s="175"/>
      <c r="G29" s="176">
        <f>'Encarregado (Líder)'!$D$130</f>
        <v>0</v>
      </c>
      <c r="H29" s="176"/>
      <c r="I29" s="176" t="e">
        <f>TRUNC(1/(15*'Tipos de Área e Produtivida'!N7)*G29,2)</f>
        <v>#DIV/0!</v>
      </c>
      <c r="J29" s="176"/>
      <c r="K29" s="1"/>
    </row>
    <row r="30" spans="1:11">
      <c r="A30" s="174" t="s">
        <v>412</v>
      </c>
      <c r="B30" s="174"/>
      <c r="C30" s="174"/>
      <c r="D30" s="174"/>
      <c r="E30" s="175" t="s">
        <v>413</v>
      </c>
      <c r="F30" s="175"/>
      <c r="G30" s="176">
        <f>'ASG sem Insalubridade'!$D$129</f>
        <v>0</v>
      </c>
      <c r="H30" s="176"/>
      <c r="I30" s="176" t="e">
        <f>TRUNC((1/'Tipos de Área e Produtivida'!N7)*G30,2)</f>
        <v>#DIV/0!</v>
      </c>
      <c r="J30" s="176"/>
      <c r="K30" s="1"/>
    </row>
    <row r="31" spans="1:11">
      <c r="A31" s="177" t="s">
        <v>179</v>
      </c>
      <c r="B31" s="177"/>
      <c r="C31" s="177"/>
      <c r="D31" s="177"/>
      <c r="E31" s="177"/>
      <c r="F31" s="177"/>
      <c r="G31" s="177"/>
      <c r="H31" s="177"/>
      <c r="I31" s="178" t="e">
        <f>TRUNC(SUM(I29:J30),2)</f>
        <v>#DIV/0!</v>
      </c>
      <c r="J31" s="178"/>
      <c r="K31" s="1"/>
    </row>
    <row r="32" spans="1:11">
      <c r="A32" s="1"/>
      <c r="B32" s="1"/>
      <c r="C32" s="1"/>
      <c r="D32" s="1"/>
      <c r="E32" s="1"/>
      <c r="F32" s="1"/>
      <c r="G32" s="1"/>
      <c r="H32" s="1"/>
      <c r="I32" s="1"/>
      <c r="J32" s="1"/>
      <c r="K32" s="1"/>
    </row>
    <row r="33" spans="1:11" ht="15.75">
      <c r="A33" s="179" t="s">
        <v>419</v>
      </c>
      <c r="B33" s="179"/>
      <c r="C33" s="179"/>
      <c r="D33" s="179"/>
      <c r="E33" s="179"/>
      <c r="F33" s="179"/>
      <c r="G33" s="179"/>
      <c r="H33" s="179"/>
      <c r="I33" s="179"/>
      <c r="J33" s="179"/>
      <c r="K33" s="1"/>
    </row>
    <row r="34" spans="1:11">
      <c r="A34" s="183" t="s">
        <v>396</v>
      </c>
      <c r="B34" s="183"/>
      <c r="C34" s="183"/>
      <c r="D34" s="183"/>
      <c r="E34" s="180" t="s">
        <v>397</v>
      </c>
      <c r="F34" s="180"/>
      <c r="G34" s="180" t="s">
        <v>398</v>
      </c>
      <c r="H34" s="180"/>
      <c r="I34" s="180" t="s">
        <v>399</v>
      </c>
      <c r="J34" s="180"/>
      <c r="K34" s="1"/>
    </row>
    <row r="35" spans="1:11">
      <c r="A35" s="183"/>
      <c r="B35" s="183"/>
      <c r="C35" s="183"/>
      <c r="D35" s="183"/>
      <c r="E35" s="181" t="s">
        <v>404</v>
      </c>
      <c r="F35" s="181"/>
      <c r="G35" s="181" t="s">
        <v>405</v>
      </c>
      <c r="H35" s="181"/>
      <c r="I35" s="181" t="s">
        <v>403</v>
      </c>
      <c r="J35" s="181"/>
      <c r="K35" s="1"/>
    </row>
    <row r="36" spans="1:11">
      <c r="A36" s="183"/>
      <c r="B36" s="183"/>
      <c r="C36" s="183"/>
      <c r="D36" s="183"/>
      <c r="E36" s="182" t="s">
        <v>409</v>
      </c>
      <c r="F36" s="182"/>
      <c r="G36" s="182" t="s">
        <v>408</v>
      </c>
      <c r="H36" s="182"/>
      <c r="I36" s="182" t="s">
        <v>406</v>
      </c>
      <c r="J36" s="182"/>
      <c r="K36" s="1"/>
    </row>
    <row r="37" spans="1:11">
      <c r="A37" s="174" t="s">
        <v>410</v>
      </c>
      <c r="B37" s="174"/>
      <c r="C37" s="174"/>
      <c r="D37" s="174"/>
      <c r="E37" s="175" t="s">
        <v>411</v>
      </c>
      <c r="F37" s="175"/>
      <c r="G37" s="176">
        <f>'Encarregado (Líder)'!$D$130</f>
        <v>0</v>
      </c>
      <c r="H37" s="176"/>
      <c r="I37" s="176" t="e">
        <f>TRUNC(1/(15*'Tipos de Área e Produtivida'!N8)*G37,2)</f>
        <v>#DIV/0!</v>
      </c>
      <c r="J37" s="176"/>
      <c r="K37" s="1"/>
    </row>
    <row r="38" spans="1:11">
      <c r="A38" s="174" t="s">
        <v>412</v>
      </c>
      <c r="B38" s="174"/>
      <c r="C38" s="174"/>
      <c r="D38" s="174"/>
      <c r="E38" s="175" t="s">
        <v>413</v>
      </c>
      <c r="F38" s="175"/>
      <c r="G38" s="176">
        <f>'ASG sem Insalubridade'!$D$129</f>
        <v>0</v>
      </c>
      <c r="H38" s="176"/>
      <c r="I38" s="176" t="e">
        <f>TRUNC((1/'Tipos de Área e Produtivida'!N8)*G38,2)</f>
        <v>#DIV/0!</v>
      </c>
      <c r="J38" s="176"/>
      <c r="K38" s="1"/>
    </row>
    <row r="39" spans="1:11">
      <c r="A39" s="177" t="s">
        <v>179</v>
      </c>
      <c r="B39" s="177"/>
      <c r="C39" s="177"/>
      <c r="D39" s="177"/>
      <c r="E39" s="177"/>
      <c r="F39" s="177"/>
      <c r="G39" s="177"/>
      <c r="H39" s="177"/>
      <c r="I39" s="178" t="e">
        <f>TRUNC(SUM(I37:J38),2)</f>
        <v>#DIV/0!</v>
      </c>
      <c r="J39" s="178"/>
      <c r="K39" s="1"/>
    </row>
    <row r="40" spans="1:11">
      <c r="A40" s="1"/>
      <c r="B40" s="1"/>
      <c r="C40" s="1"/>
      <c r="D40" s="1"/>
      <c r="E40" s="1"/>
      <c r="F40" s="1"/>
      <c r="G40" s="1"/>
      <c r="H40" s="1"/>
      <c r="I40" s="1"/>
      <c r="J40" s="1"/>
      <c r="K40" s="1"/>
    </row>
    <row r="41" spans="1:11" ht="15.75">
      <c r="A41" s="179" t="s">
        <v>420</v>
      </c>
      <c r="B41" s="179"/>
      <c r="C41" s="179"/>
      <c r="D41" s="179"/>
      <c r="E41" s="179"/>
      <c r="F41" s="179"/>
      <c r="G41" s="179"/>
      <c r="H41" s="179"/>
      <c r="I41" s="179"/>
      <c r="J41" s="179"/>
      <c r="K41" s="1"/>
    </row>
    <row r="42" spans="1:11">
      <c r="A42" s="183" t="s">
        <v>396</v>
      </c>
      <c r="B42" s="183"/>
      <c r="C42" s="183"/>
      <c r="D42" s="183"/>
      <c r="E42" s="180" t="s">
        <v>397</v>
      </c>
      <c r="F42" s="180"/>
      <c r="G42" s="180" t="s">
        <v>398</v>
      </c>
      <c r="H42" s="180"/>
      <c r="I42" s="180" t="s">
        <v>399</v>
      </c>
      <c r="J42" s="180"/>
      <c r="K42" s="1"/>
    </row>
    <row r="43" spans="1:11">
      <c r="A43" s="183"/>
      <c r="B43" s="183"/>
      <c r="C43" s="183"/>
      <c r="D43" s="183"/>
      <c r="E43" s="181" t="s">
        <v>404</v>
      </c>
      <c r="F43" s="181"/>
      <c r="G43" s="181" t="s">
        <v>405</v>
      </c>
      <c r="H43" s="181"/>
      <c r="I43" s="181" t="s">
        <v>403</v>
      </c>
      <c r="J43" s="181"/>
      <c r="K43" s="1"/>
    </row>
    <row r="44" spans="1:11">
      <c r="A44" s="183"/>
      <c r="B44" s="183"/>
      <c r="C44" s="183"/>
      <c r="D44" s="183"/>
      <c r="E44" s="182" t="s">
        <v>409</v>
      </c>
      <c r="F44" s="182"/>
      <c r="G44" s="182" t="s">
        <v>408</v>
      </c>
      <c r="H44" s="182"/>
      <c r="I44" s="182" t="s">
        <v>406</v>
      </c>
      <c r="J44" s="182"/>
      <c r="K44" s="1"/>
    </row>
    <row r="45" spans="1:11">
      <c r="A45" s="174" t="s">
        <v>410</v>
      </c>
      <c r="B45" s="174"/>
      <c r="C45" s="174"/>
      <c r="D45" s="174"/>
      <c r="E45" s="175" t="s">
        <v>411</v>
      </c>
      <c r="F45" s="175"/>
      <c r="G45" s="176">
        <f>'Encarregado (Líder)'!$D$130</f>
        <v>0</v>
      </c>
      <c r="H45" s="176"/>
      <c r="I45" s="176" t="e">
        <f>TRUNC(1/(15*'Tipos de Área e Produtivida'!N9)*G45,2)</f>
        <v>#DIV/0!</v>
      </c>
      <c r="J45" s="176"/>
      <c r="K45" s="1"/>
    </row>
    <row r="46" spans="1:11">
      <c r="A46" s="174" t="s">
        <v>412</v>
      </c>
      <c r="B46" s="174"/>
      <c r="C46" s="174"/>
      <c r="D46" s="174"/>
      <c r="E46" s="175" t="s">
        <v>413</v>
      </c>
      <c r="F46" s="175"/>
      <c r="G46" s="176">
        <f>'ASG com Insalubridade (40%)'!$D$129</f>
        <v>0</v>
      </c>
      <c r="H46" s="176"/>
      <c r="I46" s="176" t="e">
        <f>TRUNC((1/'Tipos de Área e Produtivida'!N9)*G46,2)</f>
        <v>#DIV/0!</v>
      </c>
      <c r="J46" s="176"/>
      <c r="K46" s="1"/>
    </row>
    <row r="47" spans="1:11">
      <c r="A47" s="177" t="s">
        <v>179</v>
      </c>
      <c r="B47" s="177"/>
      <c r="C47" s="177"/>
      <c r="D47" s="177"/>
      <c r="E47" s="177"/>
      <c r="F47" s="177"/>
      <c r="G47" s="177"/>
      <c r="H47" s="177"/>
      <c r="I47" s="178" t="e">
        <f>TRUNC(SUM(I45:J46),2)</f>
        <v>#DIV/0!</v>
      </c>
      <c r="J47" s="178"/>
      <c r="K47" s="1"/>
    </row>
    <row r="48" spans="1:11">
      <c r="A48" s="1"/>
      <c r="B48" s="1"/>
      <c r="C48" s="1"/>
      <c r="D48" s="1"/>
      <c r="E48" s="1"/>
      <c r="F48" s="1"/>
      <c r="G48" s="1"/>
      <c r="H48" s="1"/>
      <c r="I48" s="1"/>
      <c r="J48" s="1"/>
      <c r="K48" s="1"/>
    </row>
    <row r="49" spans="1:11" ht="15.75">
      <c r="A49" s="179" t="s">
        <v>421</v>
      </c>
      <c r="B49" s="179"/>
      <c r="C49" s="179"/>
      <c r="D49" s="179"/>
      <c r="E49" s="179"/>
      <c r="F49" s="179"/>
      <c r="G49" s="179"/>
      <c r="H49" s="179"/>
      <c r="I49" s="179"/>
      <c r="J49" s="179"/>
      <c r="K49" s="1"/>
    </row>
    <row r="50" spans="1:11">
      <c r="A50" s="183" t="s">
        <v>396</v>
      </c>
      <c r="B50" s="183"/>
      <c r="C50" s="183"/>
      <c r="D50" s="183"/>
      <c r="E50" s="180" t="s">
        <v>397</v>
      </c>
      <c r="F50" s="180"/>
      <c r="G50" s="180" t="s">
        <v>398</v>
      </c>
      <c r="H50" s="180"/>
      <c r="I50" s="180" t="s">
        <v>399</v>
      </c>
      <c r="J50" s="180"/>
      <c r="K50" s="1"/>
    </row>
    <row r="51" spans="1:11">
      <c r="A51" s="183"/>
      <c r="B51" s="183"/>
      <c r="C51" s="183"/>
      <c r="D51" s="183"/>
      <c r="E51" s="181" t="s">
        <v>404</v>
      </c>
      <c r="F51" s="181"/>
      <c r="G51" s="181" t="s">
        <v>405</v>
      </c>
      <c r="H51" s="181"/>
      <c r="I51" s="181" t="s">
        <v>403</v>
      </c>
      <c r="J51" s="181"/>
      <c r="K51" s="1"/>
    </row>
    <row r="52" spans="1:11">
      <c r="A52" s="183"/>
      <c r="B52" s="183"/>
      <c r="C52" s="183"/>
      <c r="D52" s="183"/>
      <c r="E52" s="182" t="s">
        <v>409</v>
      </c>
      <c r="F52" s="182"/>
      <c r="G52" s="182" t="s">
        <v>408</v>
      </c>
      <c r="H52" s="182"/>
      <c r="I52" s="182" t="s">
        <v>406</v>
      </c>
      <c r="J52" s="182"/>
      <c r="K52" s="1"/>
    </row>
    <row r="53" spans="1:11">
      <c r="A53" s="174" t="s">
        <v>410</v>
      </c>
      <c r="B53" s="174"/>
      <c r="C53" s="174"/>
      <c r="D53" s="174"/>
      <c r="E53" s="175" t="s">
        <v>411</v>
      </c>
      <c r="F53" s="175"/>
      <c r="G53" s="176">
        <f>'Encarregado (Líder)'!$D$130</f>
        <v>0</v>
      </c>
      <c r="H53" s="176"/>
      <c r="I53" s="176" t="e">
        <f>TRUNC(1/(15*'Tipos de Área e Produtivida'!N10)*G53,2)</f>
        <v>#DIV/0!</v>
      </c>
      <c r="J53" s="176"/>
      <c r="K53" s="1"/>
    </row>
    <row r="54" spans="1:11">
      <c r="A54" s="174" t="s">
        <v>412</v>
      </c>
      <c r="B54" s="174"/>
      <c r="C54" s="174"/>
      <c r="D54" s="174"/>
      <c r="E54" s="175" t="s">
        <v>413</v>
      </c>
      <c r="F54" s="175"/>
      <c r="G54" s="176">
        <f>'ASG sem Insalubridade'!$D$129</f>
        <v>0</v>
      </c>
      <c r="H54" s="176"/>
      <c r="I54" s="176" t="e">
        <f>TRUNC((1/'Tipos de Área e Produtivida'!N10)*G54,2)</f>
        <v>#DIV/0!</v>
      </c>
      <c r="J54" s="176"/>
      <c r="K54" s="1"/>
    </row>
    <row r="55" spans="1:11">
      <c r="A55" s="177" t="s">
        <v>179</v>
      </c>
      <c r="B55" s="177"/>
      <c r="C55" s="177"/>
      <c r="D55" s="177"/>
      <c r="E55" s="177"/>
      <c r="F55" s="177"/>
      <c r="G55" s="177"/>
      <c r="H55" s="177"/>
      <c r="I55" s="178" t="e">
        <f>TRUNC(SUM(I53:J54),2)</f>
        <v>#DIV/0!</v>
      </c>
      <c r="J55" s="178"/>
      <c r="K55" s="1"/>
    </row>
    <row r="56" spans="1:11">
      <c r="A56" s="1"/>
      <c r="B56" s="1"/>
      <c r="C56" s="1"/>
      <c r="D56" s="1"/>
      <c r="E56" s="1"/>
      <c r="F56" s="1"/>
      <c r="G56" s="1"/>
      <c r="H56" s="1"/>
      <c r="I56" s="1"/>
      <c r="J56" s="1"/>
      <c r="K56" s="1"/>
    </row>
    <row r="57" spans="1:11" ht="15.75">
      <c r="A57" s="179" t="s">
        <v>422</v>
      </c>
      <c r="B57" s="179"/>
      <c r="C57" s="179"/>
      <c r="D57" s="179"/>
      <c r="E57" s="179"/>
      <c r="F57" s="179"/>
      <c r="G57" s="179"/>
      <c r="H57" s="179"/>
      <c r="I57" s="179"/>
      <c r="J57" s="179"/>
      <c r="K57" s="1"/>
    </row>
    <row r="58" spans="1:11">
      <c r="A58" s="183" t="s">
        <v>396</v>
      </c>
      <c r="B58" s="183"/>
      <c r="C58" s="183"/>
      <c r="D58" s="183"/>
      <c r="E58" s="180" t="s">
        <v>397</v>
      </c>
      <c r="F58" s="180"/>
      <c r="G58" s="180" t="s">
        <v>398</v>
      </c>
      <c r="H58" s="180"/>
      <c r="I58" s="180" t="s">
        <v>399</v>
      </c>
      <c r="J58" s="180"/>
      <c r="K58" s="1"/>
    </row>
    <row r="59" spans="1:11">
      <c r="A59" s="183"/>
      <c r="B59" s="183"/>
      <c r="C59" s="183"/>
      <c r="D59" s="183"/>
      <c r="E59" s="181" t="s">
        <v>404</v>
      </c>
      <c r="F59" s="181"/>
      <c r="G59" s="181" t="s">
        <v>405</v>
      </c>
      <c r="H59" s="181"/>
      <c r="I59" s="181" t="s">
        <v>403</v>
      </c>
      <c r="J59" s="181"/>
      <c r="K59" s="1"/>
    </row>
    <row r="60" spans="1:11">
      <c r="A60" s="183"/>
      <c r="B60" s="183"/>
      <c r="C60" s="183"/>
      <c r="D60" s="183"/>
      <c r="E60" s="182" t="s">
        <v>409</v>
      </c>
      <c r="F60" s="182"/>
      <c r="G60" s="182" t="s">
        <v>408</v>
      </c>
      <c r="H60" s="182"/>
      <c r="I60" s="182" t="s">
        <v>406</v>
      </c>
      <c r="J60" s="182"/>
      <c r="K60" s="1"/>
    </row>
    <row r="61" spans="1:11">
      <c r="A61" s="174" t="s">
        <v>410</v>
      </c>
      <c r="B61" s="174"/>
      <c r="C61" s="174"/>
      <c r="D61" s="174"/>
      <c r="E61" s="175" t="s">
        <v>411</v>
      </c>
      <c r="F61" s="175"/>
      <c r="G61" s="176">
        <f>'Encarregado (Líder)'!$D$130</f>
        <v>0</v>
      </c>
      <c r="H61" s="176"/>
      <c r="I61" s="176" t="e">
        <f>TRUNC(1/(15*'Tipos de Área e Produtivida'!N11)*G61,2)</f>
        <v>#DIV/0!</v>
      </c>
      <c r="J61" s="176"/>
      <c r="K61" s="1"/>
    </row>
    <row r="62" spans="1:11">
      <c r="A62" s="174" t="s">
        <v>412</v>
      </c>
      <c r="B62" s="174"/>
      <c r="C62" s="174"/>
      <c r="D62" s="174"/>
      <c r="E62" s="175" t="s">
        <v>413</v>
      </c>
      <c r="F62" s="175"/>
      <c r="G62" s="176">
        <f>'ASG sem Insalubridade'!$D$129</f>
        <v>0</v>
      </c>
      <c r="H62" s="176"/>
      <c r="I62" s="176" t="e">
        <f>TRUNC((1/'Tipos de Área e Produtivida'!N11)*G62,2)</f>
        <v>#DIV/0!</v>
      </c>
      <c r="J62" s="176"/>
      <c r="K62" s="1"/>
    </row>
    <row r="63" spans="1:11">
      <c r="A63" s="177" t="s">
        <v>179</v>
      </c>
      <c r="B63" s="177"/>
      <c r="C63" s="177"/>
      <c r="D63" s="177"/>
      <c r="E63" s="177"/>
      <c r="F63" s="177"/>
      <c r="G63" s="177"/>
      <c r="H63" s="177"/>
      <c r="I63" s="178" t="e">
        <f>TRUNC(SUM(I61:J62),2)</f>
        <v>#DIV/0!</v>
      </c>
      <c r="J63" s="178"/>
      <c r="K63" s="1"/>
    </row>
    <row r="64" spans="1:11">
      <c r="A64" s="1"/>
      <c r="B64" s="1"/>
      <c r="C64" s="1"/>
      <c r="D64" s="1"/>
      <c r="E64" s="1"/>
      <c r="F64" s="1"/>
      <c r="G64" s="1"/>
      <c r="H64" s="1"/>
      <c r="I64" s="1"/>
      <c r="J64" s="1"/>
      <c r="K64" s="1"/>
    </row>
    <row r="65" spans="1:11" ht="15.75">
      <c r="A65" s="179" t="s">
        <v>423</v>
      </c>
      <c r="B65" s="179"/>
      <c r="C65" s="179"/>
      <c r="D65" s="179"/>
      <c r="E65" s="179"/>
      <c r="F65" s="179"/>
      <c r="G65" s="179"/>
      <c r="H65" s="179"/>
      <c r="I65" s="179"/>
      <c r="J65" s="179"/>
      <c r="K65" s="1"/>
    </row>
    <row r="66" spans="1:11">
      <c r="A66" s="183" t="s">
        <v>396</v>
      </c>
      <c r="B66" s="183"/>
      <c r="C66" s="183"/>
      <c r="D66" s="183"/>
      <c r="E66" s="180" t="s">
        <v>397</v>
      </c>
      <c r="F66" s="180"/>
      <c r="G66" s="180" t="s">
        <v>398</v>
      </c>
      <c r="H66" s="180"/>
      <c r="I66" s="180" t="s">
        <v>399</v>
      </c>
      <c r="J66" s="180"/>
      <c r="K66" s="1"/>
    </row>
    <row r="67" spans="1:11">
      <c r="A67" s="183"/>
      <c r="B67" s="183"/>
      <c r="C67" s="183"/>
      <c r="D67" s="183"/>
      <c r="E67" s="181" t="s">
        <v>404</v>
      </c>
      <c r="F67" s="181"/>
      <c r="G67" s="181" t="s">
        <v>405</v>
      </c>
      <c r="H67" s="181"/>
      <c r="I67" s="181" t="s">
        <v>403</v>
      </c>
      <c r="J67" s="181"/>
      <c r="K67" s="1"/>
    </row>
    <row r="68" spans="1:11">
      <c r="A68" s="183"/>
      <c r="B68" s="183"/>
      <c r="C68" s="183"/>
      <c r="D68" s="183"/>
      <c r="E68" s="182" t="s">
        <v>409</v>
      </c>
      <c r="F68" s="182"/>
      <c r="G68" s="182" t="s">
        <v>408</v>
      </c>
      <c r="H68" s="182"/>
      <c r="I68" s="182" t="s">
        <v>406</v>
      </c>
      <c r="J68" s="182"/>
      <c r="K68" s="1"/>
    </row>
    <row r="69" spans="1:11">
      <c r="A69" s="174" t="s">
        <v>410</v>
      </c>
      <c r="B69" s="174"/>
      <c r="C69" s="174"/>
      <c r="D69" s="174"/>
      <c r="E69" s="175" t="s">
        <v>411</v>
      </c>
      <c r="F69" s="175"/>
      <c r="G69" s="176">
        <f>'Encarregado (Líder)'!$D$130</f>
        <v>0</v>
      </c>
      <c r="H69" s="176"/>
      <c r="I69" s="176" t="e">
        <f>TRUNC(1/(15*'Tipos de Área e Produtivida'!N13)*G69,2)</f>
        <v>#DIV/0!</v>
      </c>
      <c r="J69" s="176"/>
      <c r="K69" s="1"/>
    </row>
    <row r="70" spans="1:11">
      <c r="A70" s="174" t="s">
        <v>412</v>
      </c>
      <c r="B70" s="174"/>
      <c r="C70" s="174"/>
      <c r="D70" s="174"/>
      <c r="E70" s="175" t="s">
        <v>413</v>
      </c>
      <c r="F70" s="175"/>
      <c r="G70" s="176">
        <f>'ASG sem Insalubridade'!$D$129</f>
        <v>0</v>
      </c>
      <c r="H70" s="176"/>
      <c r="I70" s="176" t="e">
        <f>TRUNC((1/'Tipos de Área e Produtivida'!N13)*G70,2)</f>
        <v>#DIV/0!</v>
      </c>
      <c r="J70" s="176"/>
      <c r="K70" s="1"/>
    </row>
    <row r="71" spans="1:11">
      <c r="A71" s="177" t="s">
        <v>179</v>
      </c>
      <c r="B71" s="177"/>
      <c r="C71" s="177"/>
      <c r="D71" s="177"/>
      <c r="E71" s="177"/>
      <c r="F71" s="177"/>
      <c r="G71" s="177"/>
      <c r="H71" s="177"/>
      <c r="I71" s="178" t="e">
        <f>TRUNC(SUM(I69:J70),2)</f>
        <v>#DIV/0!</v>
      </c>
      <c r="J71" s="178"/>
      <c r="K71" s="1"/>
    </row>
    <row r="72" spans="1:11">
      <c r="A72" s="1"/>
      <c r="B72" s="1"/>
      <c r="C72" s="1"/>
      <c r="D72" s="1"/>
      <c r="E72" s="1"/>
      <c r="F72" s="1"/>
      <c r="G72" s="1"/>
      <c r="H72" s="1"/>
      <c r="I72" s="1"/>
      <c r="J72" s="1"/>
      <c r="K72" s="1"/>
    </row>
    <row r="73" spans="1:11" ht="15.75">
      <c r="A73" s="179" t="s">
        <v>424</v>
      </c>
      <c r="B73" s="179"/>
      <c r="C73" s="179"/>
      <c r="D73" s="179"/>
      <c r="E73" s="179"/>
      <c r="F73" s="179"/>
      <c r="G73" s="179"/>
      <c r="H73" s="179"/>
      <c r="I73" s="179"/>
      <c r="J73" s="179"/>
      <c r="K73" s="1"/>
    </row>
    <row r="74" spans="1:11">
      <c r="A74" s="183" t="s">
        <v>396</v>
      </c>
      <c r="B74" s="183"/>
      <c r="C74" s="183"/>
      <c r="D74" s="183"/>
      <c r="E74" s="180" t="s">
        <v>397</v>
      </c>
      <c r="F74" s="180"/>
      <c r="G74" s="180" t="s">
        <v>398</v>
      </c>
      <c r="H74" s="180"/>
      <c r="I74" s="180" t="s">
        <v>399</v>
      </c>
      <c r="J74" s="180"/>
      <c r="K74" s="1"/>
    </row>
    <row r="75" spans="1:11">
      <c r="A75" s="183"/>
      <c r="B75" s="183"/>
      <c r="C75" s="183"/>
      <c r="D75" s="183"/>
      <c r="E75" s="181" t="s">
        <v>404</v>
      </c>
      <c r="F75" s="181"/>
      <c r="G75" s="181" t="s">
        <v>405</v>
      </c>
      <c r="H75" s="181"/>
      <c r="I75" s="181" t="s">
        <v>403</v>
      </c>
      <c r="J75" s="181"/>
      <c r="K75" s="1"/>
    </row>
    <row r="76" spans="1:11">
      <c r="A76" s="183"/>
      <c r="B76" s="183"/>
      <c r="C76" s="183"/>
      <c r="D76" s="183"/>
      <c r="E76" s="182" t="s">
        <v>409</v>
      </c>
      <c r="F76" s="182"/>
      <c r="G76" s="182" t="s">
        <v>408</v>
      </c>
      <c r="H76" s="182"/>
      <c r="I76" s="182" t="s">
        <v>406</v>
      </c>
      <c r="J76" s="182"/>
      <c r="K76" s="1"/>
    </row>
    <row r="77" spans="1:11">
      <c r="A77" s="174" t="s">
        <v>410</v>
      </c>
      <c r="B77" s="174"/>
      <c r="C77" s="174"/>
      <c r="D77" s="174"/>
      <c r="E77" s="175" t="s">
        <v>411</v>
      </c>
      <c r="F77" s="175"/>
      <c r="G77" s="176">
        <f>'Encarregado (Líder)'!$D$130</f>
        <v>0</v>
      </c>
      <c r="H77" s="176"/>
      <c r="I77" s="176" t="e">
        <f>TRUNC(1/(15*'Tipos de Área e Produtivida'!#REF!)*G77,2)</f>
        <v>#REF!</v>
      </c>
      <c r="J77" s="176"/>
      <c r="K77" s="1"/>
    </row>
    <row r="78" spans="1:11">
      <c r="A78" s="174" t="s">
        <v>412</v>
      </c>
      <c r="B78" s="174"/>
      <c r="C78" s="174"/>
      <c r="D78" s="174"/>
      <c r="E78" s="175" t="s">
        <v>413</v>
      </c>
      <c r="F78" s="175"/>
      <c r="G78" s="176" t="e">
        <f>#REF!</f>
        <v>#REF!</v>
      </c>
      <c r="H78" s="176"/>
      <c r="I78" s="176" t="e">
        <f>TRUNC((1/'Tipos de Área e Produtivida'!#REF!)*G78,2)</f>
        <v>#REF!</v>
      </c>
      <c r="J78" s="176"/>
      <c r="K78" s="1"/>
    </row>
    <row r="79" spans="1:11">
      <c r="A79" s="177" t="s">
        <v>179</v>
      </c>
      <c r="B79" s="177"/>
      <c r="C79" s="177"/>
      <c r="D79" s="177"/>
      <c r="E79" s="177"/>
      <c r="F79" s="177"/>
      <c r="G79" s="177"/>
      <c r="H79" s="177"/>
      <c r="I79" s="178" t="e">
        <f>TRUNC(SUM(I77:J78),2)</f>
        <v>#REF!</v>
      </c>
      <c r="J79" s="178"/>
      <c r="K79" s="1"/>
    </row>
  </sheetData>
  <mergeCells count="268">
    <mergeCell ref="A1:J1"/>
    <mergeCell ref="E2:F2"/>
    <mergeCell ref="G2:H2"/>
    <mergeCell ref="I2:J2"/>
    <mergeCell ref="U2:W2"/>
    <mergeCell ref="X2:Y2"/>
    <mergeCell ref="Z2:AB2"/>
    <mergeCell ref="E3:F3"/>
    <mergeCell ref="G3:H3"/>
    <mergeCell ref="I3:J3"/>
    <mergeCell ref="U3:W3"/>
    <mergeCell ref="X3:Y3"/>
    <mergeCell ref="Z3:AB3"/>
    <mergeCell ref="E4:F4"/>
    <mergeCell ref="G4:H4"/>
    <mergeCell ref="I4:J4"/>
    <mergeCell ref="M4:T4"/>
    <mergeCell ref="U4:W4"/>
    <mergeCell ref="X4:Y4"/>
    <mergeCell ref="Z4:AB4"/>
    <mergeCell ref="A5:D5"/>
    <mergeCell ref="E5:F5"/>
    <mergeCell ref="G5:H5"/>
    <mergeCell ref="I5:J5"/>
    <mergeCell ref="M5:T5"/>
    <mergeCell ref="U5:W5"/>
    <mergeCell ref="X5:Y5"/>
    <mergeCell ref="Z5:AB5"/>
    <mergeCell ref="A2:D4"/>
    <mergeCell ref="M2:T3"/>
    <mergeCell ref="A6:D6"/>
    <mergeCell ref="E6:F6"/>
    <mergeCell ref="G6:H6"/>
    <mergeCell ref="I6:J6"/>
    <mergeCell ref="M6:T6"/>
    <mergeCell ref="U6:W6"/>
    <mergeCell ref="X6:Y6"/>
    <mergeCell ref="Z6:AB6"/>
    <mergeCell ref="A7:H7"/>
    <mergeCell ref="I7:J7"/>
    <mergeCell ref="M7:T7"/>
    <mergeCell ref="U7:W7"/>
    <mergeCell ref="X7:Y7"/>
    <mergeCell ref="Z7:AB7"/>
    <mergeCell ref="A8:J8"/>
    <mergeCell ref="M8:T8"/>
    <mergeCell ref="U8:W8"/>
    <mergeCell ref="X8:Y8"/>
    <mergeCell ref="Z8:AB8"/>
    <mergeCell ref="A9:J9"/>
    <mergeCell ref="M9:T9"/>
    <mergeCell ref="U9:W9"/>
    <mergeCell ref="X9:Y9"/>
    <mergeCell ref="Z9:AB9"/>
    <mergeCell ref="E12:F12"/>
    <mergeCell ref="G12:H12"/>
    <mergeCell ref="I12:J12"/>
    <mergeCell ref="M12:T12"/>
    <mergeCell ref="U12:W12"/>
    <mergeCell ref="X12:Y12"/>
    <mergeCell ref="Z12:AB12"/>
    <mergeCell ref="A10:D12"/>
    <mergeCell ref="E10:F10"/>
    <mergeCell ref="G10:H10"/>
    <mergeCell ref="I10:J10"/>
    <mergeCell ref="M10:T10"/>
    <mergeCell ref="U10:W10"/>
    <mergeCell ref="X10:Y10"/>
    <mergeCell ref="Z10:AB10"/>
    <mergeCell ref="E11:F11"/>
    <mergeCell ref="G11:H11"/>
    <mergeCell ref="I11:J11"/>
    <mergeCell ref="M11:T11"/>
    <mergeCell ref="U11:W11"/>
    <mergeCell ref="X11:Y11"/>
    <mergeCell ref="Z11:AB11"/>
    <mergeCell ref="A14:D14"/>
    <mergeCell ref="E14:F14"/>
    <mergeCell ref="G14:H14"/>
    <mergeCell ref="I14:J14"/>
    <mergeCell ref="M14:T14"/>
    <mergeCell ref="U14:W14"/>
    <mergeCell ref="X14:Y14"/>
    <mergeCell ref="Z14:AB14"/>
    <mergeCell ref="A15:H15"/>
    <mergeCell ref="I15:J15"/>
    <mergeCell ref="M15:T15"/>
    <mergeCell ref="U15:W15"/>
    <mergeCell ref="X15:Y15"/>
    <mergeCell ref="Z15:AB15"/>
    <mergeCell ref="A16:J16"/>
    <mergeCell ref="A17:J17"/>
    <mergeCell ref="E18:F18"/>
    <mergeCell ref="G18:H18"/>
    <mergeCell ref="I18:J18"/>
    <mergeCell ref="E19:F19"/>
    <mergeCell ref="G19:H19"/>
    <mergeCell ref="I19:J19"/>
    <mergeCell ref="E20:F20"/>
    <mergeCell ref="G20:H20"/>
    <mergeCell ref="I20:J20"/>
    <mergeCell ref="A18:D20"/>
    <mergeCell ref="A21:D21"/>
    <mergeCell ref="E21:F21"/>
    <mergeCell ref="G21:H21"/>
    <mergeCell ref="I21:J21"/>
    <mergeCell ref="A22:D22"/>
    <mergeCell ref="E22:F22"/>
    <mergeCell ref="G22:H22"/>
    <mergeCell ref="I22:J22"/>
    <mergeCell ref="A23:H23"/>
    <mergeCell ref="I23:J23"/>
    <mergeCell ref="A24:J24"/>
    <mergeCell ref="A25:J25"/>
    <mergeCell ref="E26:F26"/>
    <mergeCell ref="G26:H26"/>
    <mergeCell ref="I26:J26"/>
    <mergeCell ref="E27:F27"/>
    <mergeCell ref="G27:H27"/>
    <mergeCell ref="I27:J27"/>
    <mergeCell ref="E28:F28"/>
    <mergeCell ref="G28:H28"/>
    <mergeCell ref="I28:J28"/>
    <mergeCell ref="A26:D28"/>
    <mergeCell ref="A29:D29"/>
    <mergeCell ref="E29:F29"/>
    <mergeCell ref="G29:H29"/>
    <mergeCell ref="I29:J29"/>
    <mergeCell ref="A30:D30"/>
    <mergeCell ref="E30:F30"/>
    <mergeCell ref="G30:H30"/>
    <mergeCell ref="I30:J30"/>
    <mergeCell ref="A31:H31"/>
    <mergeCell ref="I31:J31"/>
    <mergeCell ref="A33:J33"/>
    <mergeCell ref="E34:F34"/>
    <mergeCell ref="G34:H34"/>
    <mergeCell ref="I34:J34"/>
    <mergeCell ref="E35:F35"/>
    <mergeCell ref="G35:H35"/>
    <mergeCell ref="I35:J35"/>
    <mergeCell ref="E36:F36"/>
    <mergeCell ref="G36:H36"/>
    <mergeCell ref="I36:J36"/>
    <mergeCell ref="A34:D36"/>
    <mergeCell ref="A37:D37"/>
    <mergeCell ref="E37:F37"/>
    <mergeCell ref="G37:H37"/>
    <mergeCell ref="I37:J37"/>
    <mergeCell ref="A38:D38"/>
    <mergeCell ref="E38:F38"/>
    <mergeCell ref="G38:H38"/>
    <mergeCell ref="I38:J38"/>
    <mergeCell ref="A39:H39"/>
    <mergeCell ref="I39:J39"/>
    <mergeCell ref="A41:J41"/>
    <mergeCell ref="E42:F42"/>
    <mergeCell ref="G42:H42"/>
    <mergeCell ref="I42:J42"/>
    <mergeCell ref="E43:F43"/>
    <mergeCell ref="G43:H43"/>
    <mergeCell ref="I43:J43"/>
    <mergeCell ref="E44:F44"/>
    <mergeCell ref="G44:H44"/>
    <mergeCell ref="I44:J44"/>
    <mergeCell ref="A42:D44"/>
    <mergeCell ref="A45:D45"/>
    <mergeCell ref="E45:F45"/>
    <mergeCell ref="G45:H45"/>
    <mergeCell ref="I45:J45"/>
    <mergeCell ref="A46:D46"/>
    <mergeCell ref="E46:F46"/>
    <mergeCell ref="G46:H46"/>
    <mergeCell ref="I46:J46"/>
    <mergeCell ref="A47:H47"/>
    <mergeCell ref="I47:J47"/>
    <mergeCell ref="A49:J49"/>
    <mergeCell ref="E50:F50"/>
    <mergeCell ref="G50:H50"/>
    <mergeCell ref="I50:J50"/>
    <mergeCell ref="E51:F51"/>
    <mergeCell ref="G51:H51"/>
    <mergeCell ref="I51:J51"/>
    <mergeCell ref="E52:F52"/>
    <mergeCell ref="G52:H52"/>
    <mergeCell ref="I52:J52"/>
    <mergeCell ref="A50:D52"/>
    <mergeCell ref="A53:D53"/>
    <mergeCell ref="E53:F53"/>
    <mergeCell ref="G53:H53"/>
    <mergeCell ref="I53:J53"/>
    <mergeCell ref="A54:D54"/>
    <mergeCell ref="E54:F54"/>
    <mergeCell ref="G54:H54"/>
    <mergeCell ref="I54:J54"/>
    <mergeCell ref="A55:H55"/>
    <mergeCell ref="I55:J55"/>
    <mergeCell ref="A57:J57"/>
    <mergeCell ref="E58:F58"/>
    <mergeCell ref="G58:H58"/>
    <mergeCell ref="I58:J58"/>
    <mergeCell ref="E59:F59"/>
    <mergeCell ref="G59:H59"/>
    <mergeCell ref="I59:J59"/>
    <mergeCell ref="E60:F60"/>
    <mergeCell ref="G60:H60"/>
    <mergeCell ref="I60:J60"/>
    <mergeCell ref="A58:D60"/>
    <mergeCell ref="A61:D61"/>
    <mergeCell ref="E61:F61"/>
    <mergeCell ref="G61:H61"/>
    <mergeCell ref="I61:J61"/>
    <mergeCell ref="A62:D62"/>
    <mergeCell ref="E62:F62"/>
    <mergeCell ref="G62:H62"/>
    <mergeCell ref="I62:J62"/>
    <mergeCell ref="A63:H63"/>
    <mergeCell ref="I63:J63"/>
    <mergeCell ref="G66:H66"/>
    <mergeCell ref="I66:J66"/>
    <mergeCell ref="E67:F67"/>
    <mergeCell ref="G67:H67"/>
    <mergeCell ref="I67:J67"/>
    <mergeCell ref="E68:F68"/>
    <mergeCell ref="G68:H68"/>
    <mergeCell ref="I68:J68"/>
    <mergeCell ref="A66:D68"/>
    <mergeCell ref="A78:D78"/>
    <mergeCell ref="E78:F78"/>
    <mergeCell ref="G78:H78"/>
    <mergeCell ref="I78:J78"/>
    <mergeCell ref="A79:H79"/>
    <mergeCell ref="I79:J79"/>
    <mergeCell ref="A73:J73"/>
    <mergeCell ref="E74:F74"/>
    <mergeCell ref="G74:H74"/>
    <mergeCell ref="I74:J74"/>
    <mergeCell ref="E75:F75"/>
    <mergeCell ref="G75:H75"/>
    <mergeCell ref="I75:J75"/>
    <mergeCell ref="E76:F76"/>
    <mergeCell ref="G76:H76"/>
    <mergeCell ref="I76:J76"/>
    <mergeCell ref="A74:D76"/>
    <mergeCell ref="Z13:AB13"/>
    <mergeCell ref="X13:Y13"/>
    <mergeCell ref="U13:W13"/>
    <mergeCell ref="M13:T13"/>
    <mergeCell ref="I13:J13"/>
    <mergeCell ref="G13:H13"/>
    <mergeCell ref="E13:F13"/>
    <mergeCell ref="A13:D13"/>
    <mergeCell ref="A77:D77"/>
    <mergeCell ref="E77:F77"/>
    <mergeCell ref="G77:H77"/>
    <mergeCell ref="I77:J77"/>
    <mergeCell ref="A69:D69"/>
    <mergeCell ref="E69:F69"/>
    <mergeCell ref="G69:H69"/>
    <mergeCell ref="I69:J69"/>
    <mergeCell ref="A70:D70"/>
    <mergeCell ref="E70:F70"/>
    <mergeCell ref="G70:H70"/>
    <mergeCell ref="I70:J70"/>
    <mergeCell ref="A71:H71"/>
    <mergeCell ref="I71:J71"/>
    <mergeCell ref="A65:J65"/>
    <mergeCell ref="E66:F6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30"/>
  <sheetViews>
    <sheetView tabSelected="1" topLeftCell="B136" workbookViewId="0">
      <selection activeCell="C60" sqref="C60:C65"/>
    </sheetView>
  </sheetViews>
  <sheetFormatPr defaultColWidth="9.140625" defaultRowHeight="15"/>
  <cols>
    <col min="1" max="1" width="16.7109375" customWidth="1"/>
    <col min="2" max="2" width="55" customWidth="1"/>
    <col min="3" max="3" width="31" customWidth="1"/>
    <col min="4" max="4" width="24.85546875" customWidth="1"/>
    <col min="6" max="6" width="35.42578125" customWidth="1"/>
    <col min="7" max="7" width="11.28515625" customWidth="1"/>
  </cols>
  <sheetData>
    <row r="1" spans="1:7">
      <c r="A1" s="145" t="s">
        <v>0</v>
      </c>
      <c r="B1" s="145"/>
      <c r="C1" s="145"/>
      <c r="D1" s="145"/>
      <c r="F1" s="144" t="s">
        <v>1</v>
      </c>
      <c r="G1" s="144"/>
    </row>
    <row r="2" spans="1:7">
      <c r="A2" s="24" t="s">
        <v>2</v>
      </c>
      <c r="B2" t="s">
        <v>3</v>
      </c>
      <c r="C2" s="24" t="s">
        <v>4</v>
      </c>
      <c r="D2" s="24" t="s">
        <v>5</v>
      </c>
      <c r="F2" t="s">
        <v>3</v>
      </c>
      <c r="G2" t="s">
        <v>5</v>
      </c>
    </row>
    <row r="3" spans="1:7">
      <c r="A3" s="24">
        <v>1</v>
      </c>
      <c r="B3" t="s">
        <v>6</v>
      </c>
      <c r="C3" s="24"/>
      <c r="D3" s="24" t="s">
        <v>7</v>
      </c>
      <c r="F3" t="s">
        <v>8</v>
      </c>
      <c r="G3" s="127"/>
    </row>
    <row r="4" spans="1:7">
      <c r="A4" s="24">
        <v>2</v>
      </c>
      <c r="B4" t="s">
        <v>9</v>
      </c>
      <c r="C4" s="24"/>
      <c r="D4" s="24" t="s">
        <v>95</v>
      </c>
      <c r="F4" t="s">
        <v>11</v>
      </c>
      <c r="G4" s="127"/>
    </row>
    <row r="5" spans="1:7">
      <c r="A5" s="24">
        <v>3</v>
      </c>
      <c r="B5" t="s">
        <v>12</v>
      </c>
      <c r="C5" s="24" t="s">
        <v>173</v>
      </c>
      <c r="D5" s="99"/>
      <c r="F5" t="s">
        <v>14</v>
      </c>
      <c r="G5" s="94"/>
    </row>
    <row r="6" spans="1:7">
      <c r="A6" s="24">
        <v>4</v>
      </c>
      <c r="B6" t="s">
        <v>15</v>
      </c>
      <c r="C6" s="24" t="s">
        <v>174</v>
      </c>
      <c r="D6" s="24" t="s">
        <v>175</v>
      </c>
      <c r="F6" t="s">
        <v>18</v>
      </c>
      <c r="G6" s="129"/>
    </row>
    <row r="7" spans="1:7">
      <c r="A7" s="24">
        <v>5</v>
      </c>
      <c r="B7" t="s">
        <v>19</v>
      </c>
      <c r="C7" s="24"/>
      <c r="D7" s="24" t="s">
        <v>20</v>
      </c>
    </row>
    <row r="8" spans="1:7">
      <c r="F8" s="101"/>
      <c r="G8" s="102"/>
    </row>
    <row r="9" spans="1:7">
      <c r="A9" s="140" t="s">
        <v>22</v>
      </c>
      <c r="B9" s="140"/>
      <c r="C9" s="140"/>
      <c r="D9" s="140"/>
      <c r="F9" s="101"/>
      <c r="G9" s="102"/>
    </row>
    <row r="10" spans="1:7">
      <c r="A10" s="24" t="s">
        <v>25</v>
      </c>
      <c r="B10" t="s">
        <v>26</v>
      </c>
      <c r="C10" s="24" t="s">
        <v>4</v>
      </c>
      <c r="D10" s="24" t="s">
        <v>5</v>
      </c>
      <c r="F10" s="101"/>
      <c r="G10" s="102"/>
    </row>
    <row r="11" spans="1:7">
      <c r="A11" s="24" t="s">
        <v>28</v>
      </c>
      <c r="B11" t="s">
        <v>29</v>
      </c>
      <c r="C11" s="24"/>
      <c r="D11" s="84"/>
      <c r="F11" s="101"/>
      <c r="G11" s="102"/>
    </row>
    <row r="12" spans="1:7">
      <c r="A12" s="24" t="s">
        <v>31</v>
      </c>
      <c r="B12" t="s">
        <v>32</v>
      </c>
      <c r="C12" s="24"/>
      <c r="D12" s="84"/>
      <c r="F12" s="101"/>
      <c r="G12" s="102"/>
    </row>
    <row r="13" spans="1:7">
      <c r="A13" s="24" t="s">
        <v>34</v>
      </c>
      <c r="B13" t="s">
        <v>35</v>
      </c>
      <c r="C13" s="24"/>
      <c r="D13" s="84"/>
      <c r="F13" s="101"/>
      <c r="G13" s="102"/>
    </row>
    <row r="14" spans="1:7">
      <c r="A14" s="24" t="s">
        <v>36</v>
      </c>
      <c r="B14" t="s">
        <v>37</v>
      </c>
      <c r="C14" s="24"/>
      <c r="D14" s="84"/>
      <c r="F14" s="101"/>
      <c r="G14" s="102"/>
    </row>
    <row r="15" spans="1:7">
      <c r="A15" s="24" t="s">
        <v>39</v>
      </c>
      <c r="B15" t="s">
        <v>40</v>
      </c>
      <c r="C15" s="24"/>
      <c r="D15" s="84"/>
      <c r="F15" s="101"/>
      <c r="G15" s="102"/>
    </row>
    <row r="16" spans="1:7">
      <c r="A16" s="24" t="s">
        <v>41</v>
      </c>
      <c r="B16" t="s">
        <v>42</v>
      </c>
      <c r="C16" s="24"/>
      <c r="D16" s="84"/>
      <c r="F16" s="101"/>
      <c r="G16" s="102"/>
    </row>
    <row r="17" spans="1:7">
      <c r="A17" s="24" t="s">
        <v>44</v>
      </c>
      <c r="C17" s="24"/>
      <c r="D17" s="84">
        <f>TRUNC(SUM(D11:D16),2)</f>
        <v>0</v>
      </c>
      <c r="F17" s="101"/>
      <c r="G17" s="102"/>
    </row>
    <row r="18" spans="1:7">
      <c r="F18" s="101"/>
      <c r="G18" s="102"/>
    </row>
    <row r="19" spans="1:7">
      <c r="A19" s="143" t="s">
        <v>47</v>
      </c>
      <c r="B19" s="143"/>
      <c r="C19" s="143"/>
      <c r="D19" s="143"/>
      <c r="F19" s="101"/>
      <c r="G19" s="102"/>
    </row>
    <row r="20" spans="1:7">
      <c r="A20" s="144" t="s">
        <v>49</v>
      </c>
      <c r="B20" s="144"/>
      <c r="C20" s="144"/>
      <c r="D20" s="144"/>
      <c r="F20" s="101"/>
      <c r="G20" s="102"/>
    </row>
    <row r="21" spans="1:7">
      <c r="A21" s="24" t="s">
        <v>51</v>
      </c>
      <c r="B21" t="s">
        <v>52</v>
      </c>
      <c r="C21" s="24" t="s">
        <v>4</v>
      </c>
      <c r="D21" s="24" t="s">
        <v>5</v>
      </c>
      <c r="F21" s="101"/>
      <c r="G21" s="102"/>
    </row>
    <row r="22" spans="1:7">
      <c r="A22" s="24" t="s">
        <v>28</v>
      </c>
      <c r="B22" t="s">
        <v>53</v>
      </c>
      <c r="C22" s="103">
        <f>(1/12)</f>
        <v>8.3333333333333329E-2</v>
      </c>
      <c r="D22" s="84">
        <f>TRUNC($D$17*C22,2)</f>
        <v>0</v>
      </c>
      <c r="F22" s="101"/>
      <c r="G22" s="102"/>
    </row>
    <row r="23" spans="1:7">
      <c r="A23" s="24" t="s">
        <v>31</v>
      </c>
      <c r="B23" t="s">
        <v>55</v>
      </c>
      <c r="C23" s="103">
        <f>(((1+1/3)/12))</f>
        <v>0.1111111111111111</v>
      </c>
      <c r="D23" s="84">
        <f>TRUNC($D$17*C23,2)</f>
        <v>0</v>
      </c>
      <c r="E23" s="104"/>
      <c r="F23" s="101"/>
      <c r="G23" s="102"/>
    </row>
    <row r="24" spans="1:7">
      <c r="A24" s="24" t="s">
        <v>44</v>
      </c>
      <c r="D24" s="84">
        <f>TRUNC(SUM(D22:D23),2)</f>
        <v>0</v>
      </c>
      <c r="F24" s="101"/>
      <c r="G24" s="102"/>
    </row>
    <row r="25" spans="1:7">
      <c r="A25" s="24"/>
      <c r="D25" s="84"/>
      <c r="F25" s="101"/>
      <c r="G25" s="102"/>
    </row>
    <row r="26" spans="1:7">
      <c r="A26" s="147" t="s">
        <v>176</v>
      </c>
      <c r="B26" s="147"/>
      <c r="C26" s="105" t="s">
        <v>177</v>
      </c>
      <c r="D26" s="106">
        <f>D17</f>
        <v>0</v>
      </c>
      <c r="F26" s="107"/>
      <c r="G26" s="107"/>
    </row>
    <row r="27" spans="1:7">
      <c r="A27" s="147"/>
      <c r="B27" s="147"/>
      <c r="C27" s="108" t="s">
        <v>178</v>
      </c>
      <c r="D27" s="106">
        <f>D24</f>
        <v>0</v>
      </c>
      <c r="F27" s="107"/>
      <c r="G27" s="107"/>
    </row>
    <row r="28" spans="1:7">
      <c r="A28" s="147"/>
      <c r="B28" s="147"/>
      <c r="C28" s="105" t="s">
        <v>179</v>
      </c>
      <c r="D28" s="109">
        <f>TRUNC((SUM(D26:D27)),2)</f>
        <v>0</v>
      </c>
      <c r="F28" s="107"/>
      <c r="G28" s="107"/>
    </row>
    <row r="29" spans="1:7">
      <c r="A29" s="24"/>
      <c r="B29" s="24"/>
      <c r="C29" s="110"/>
      <c r="F29" s="107"/>
      <c r="G29" s="107"/>
    </row>
    <row r="30" spans="1:7">
      <c r="A30" s="144" t="s">
        <v>66</v>
      </c>
      <c r="B30" s="144"/>
      <c r="C30" s="144"/>
      <c r="D30" s="144"/>
    </row>
    <row r="31" spans="1:7">
      <c r="A31" s="24" t="s">
        <v>67</v>
      </c>
      <c r="B31" t="s">
        <v>68</v>
      </c>
      <c r="C31" s="24" t="s">
        <v>24</v>
      </c>
      <c r="D31" s="24" t="s">
        <v>69</v>
      </c>
    </row>
    <row r="32" spans="1:7">
      <c r="A32" s="24" t="s">
        <v>28</v>
      </c>
      <c r="B32" t="s">
        <v>70</v>
      </c>
      <c r="C32" s="111">
        <v>0.2</v>
      </c>
      <c r="D32" s="71">
        <f t="shared" ref="D32:D39" si="0">TRUNC(($D$28*C32),2)</f>
        <v>0</v>
      </c>
    </row>
    <row r="33" spans="1:4">
      <c r="A33" s="24" t="s">
        <v>31</v>
      </c>
      <c r="B33" t="s">
        <v>71</v>
      </c>
      <c r="C33" s="111">
        <v>2.5000000000000001E-2</v>
      </c>
      <c r="D33" s="71">
        <f t="shared" si="0"/>
        <v>0</v>
      </c>
    </row>
    <row r="34" spans="1:4">
      <c r="A34" s="24" t="s">
        <v>34</v>
      </c>
      <c r="B34" t="s">
        <v>72</v>
      </c>
      <c r="C34" s="112">
        <f>G6</f>
        <v>0</v>
      </c>
      <c r="D34" s="71">
        <f t="shared" si="0"/>
        <v>0</v>
      </c>
    </row>
    <row r="35" spans="1:4">
      <c r="A35" s="24" t="s">
        <v>36</v>
      </c>
      <c r="B35" t="s">
        <v>73</v>
      </c>
      <c r="C35" s="111">
        <v>1.4999999999999999E-2</v>
      </c>
      <c r="D35" s="71">
        <f t="shared" si="0"/>
        <v>0</v>
      </c>
    </row>
    <row r="36" spans="1:4">
      <c r="A36" s="24" t="s">
        <v>39</v>
      </c>
      <c r="B36" t="s">
        <v>74</v>
      </c>
      <c r="C36" s="111">
        <v>0.01</v>
      </c>
      <c r="D36" s="71">
        <f t="shared" si="0"/>
        <v>0</v>
      </c>
    </row>
    <row r="37" spans="1:4">
      <c r="A37" s="24" t="s">
        <v>41</v>
      </c>
      <c r="B37" t="s">
        <v>75</v>
      </c>
      <c r="C37" s="111">
        <v>6.0000000000000001E-3</v>
      </c>
      <c r="D37" s="71">
        <f t="shared" si="0"/>
        <v>0</v>
      </c>
    </row>
    <row r="38" spans="1:4">
      <c r="A38" s="24" t="s">
        <v>76</v>
      </c>
      <c r="B38" t="s">
        <v>77</v>
      </c>
      <c r="C38" s="111">
        <v>2E-3</v>
      </c>
      <c r="D38" s="71">
        <f t="shared" si="0"/>
        <v>0</v>
      </c>
    </row>
    <row r="39" spans="1:4">
      <c r="A39" s="24" t="s">
        <v>78</v>
      </c>
      <c r="B39" t="s">
        <v>79</v>
      </c>
      <c r="C39" s="111">
        <v>0.08</v>
      </c>
      <c r="D39" s="71">
        <f t="shared" si="0"/>
        <v>0</v>
      </c>
    </row>
    <row r="40" spans="1:4">
      <c r="A40" s="24" t="s">
        <v>44</v>
      </c>
      <c r="C40" s="114">
        <f>SUBTOTAL(109,Submódulo2.267_75[Percentual])</f>
        <v>0.33800000000000002</v>
      </c>
      <c r="D40" s="71">
        <f>TRUNC(SUM(D32:D39),2)</f>
        <v>0</v>
      </c>
    </row>
    <row r="41" spans="1:4">
      <c r="A41" s="24"/>
      <c r="C41" s="114"/>
      <c r="D41" s="84"/>
    </row>
    <row r="42" spans="1:4">
      <c r="A42" s="144" t="s">
        <v>84</v>
      </c>
      <c r="B42" s="144"/>
      <c r="C42" s="144"/>
      <c r="D42" s="144"/>
    </row>
    <row r="43" spans="1:4">
      <c r="A43" s="24" t="s">
        <v>85</v>
      </c>
      <c r="B43" t="s">
        <v>86</v>
      </c>
      <c r="C43" s="24" t="s">
        <v>4</v>
      </c>
      <c r="D43" s="24" t="s">
        <v>5</v>
      </c>
    </row>
    <row r="44" spans="1:4">
      <c r="A44" s="24" t="s">
        <v>28</v>
      </c>
      <c r="B44" t="s">
        <v>87</v>
      </c>
      <c r="D44" s="113"/>
    </row>
    <row r="45" spans="1:4">
      <c r="A45" s="24" t="s">
        <v>31</v>
      </c>
      <c r="B45" t="s">
        <v>88</v>
      </c>
      <c r="D45" s="113"/>
    </row>
    <row r="46" spans="1:4">
      <c r="A46" s="24" t="s">
        <v>34</v>
      </c>
      <c r="B46" t="s">
        <v>89</v>
      </c>
      <c r="D46" s="113"/>
    </row>
    <row r="47" spans="1:4">
      <c r="A47" s="24" t="s">
        <v>36</v>
      </c>
      <c r="B47" t="s">
        <v>90</v>
      </c>
      <c r="C47" s="115" t="s">
        <v>174</v>
      </c>
      <c r="D47" s="113"/>
    </row>
    <row r="48" spans="1:4">
      <c r="A48" s="24" t="s">
        <v>39</v>
      </c>
      <c r="B48" t="s">
        <v>92</v>
      </c>
      <c r="C48" s="115" t="s">
        <v>174</v>
      </c>
      <c r="D48" s="113"/>
    </row>
    <row r="49" spans="1:4">
      <c r="A49" s="24" t="s">
        <v>44</v>
      </c>
      <c r="D49" s="84">
        <f>TRUNC(SUM(D44:D48),2)</f>
        <v>0</v>
      </c>
    </row>
    <row r="50" spans="1:4">
      <c r="A50" s="24"/>
      <c r="D50" s="84"/>
    </row>
    <row r="51" spans="1:4">
      <c r="A51" s="144" t="s">
        <v>98</v>
      </c>
      <c r="B51" s="144"/>
      <c r="C51" s="144"/>
      <c r="D51" s="144"/>
    </row>
    <row r="52" spans="1:4">
      <c r="A52" s="24" t="s">
        <v>99</v>
      </c>
      <c r="B52" t="s">
        <v>100</v>
      </c>
      <c r="C52" s="24" t="s">
        <v>4</v>
      </c>
      <c r="D52" s="24" t="s">
        <v>5</v>
      </c>
    </row>
    <row r="53" spans="1:4">
      <c r="A53" s="24" t="s">
        <v>51</v>
      </c>
      <c r="B53" t="s">
        <v>52</v>
      </c>
      <c r="C53" s="24"/>
      <c r="D53" s="84">
        <f>D24</f>
        <v>0</v>
      </c>
    </row>
    <row r="54" spans="1:4">
      <c r="A54" s="24" t="s">
        <v>67</v>
      </c>
      <c r="B54" t="s">
        <v>68</v>
      </c>
      <c r="C54" s="24"/>
      <c r="D54" s="84">
        <f>D40</f>
        <v>0</v>
      </c>
    </row>
    <row r="55" spans="1:4">
      <c r="A55" s="24" t="s">
        <v>85</v>
      </c>
      <c r="B55" t="s">
        <v>86</v>
      </c>
      <c r="C55" s="24"/>
      <c r="D55" s="84">
        <f>D49</f>
        <v>0</v>
      </c>
    </row>
    <row r="56" spans="1:4">
      <c r="A56" s="24" t="s">
        <v>44</v>
      </c>
      <c r="C56" s="24"/>
      <c r="D56" s="84">
        <f>TRUNC(SUM(D53:D55),2)</f>
        <v>0</v>
      </c>
    </row>
    <row r="58" spans="1:4">
      <c r="A58" s="140" t="s">
        <v>101</v>
      </c>
      <c r="B58" s="140"/>
      <c r="C58" s="140"/>
      <c r="D58" s="140"/>
    </row>
    <row r="59" spans="1:4">
      <c r="A59" s="24" t="s">
        <v>102</v>
      </c>
      <c r="B59" t="s">
        <v>103</v>
      </c>
      <c r="C59" s="24" t="s">
        <v>4</v>
      </c>
      <c r="D59" s="24" t="s">
        <v>5</v>
      </c>
    </row>
    <row r="60" spans="1:4">
      <c r="A60" s="24" t="s">
        <v>28</v>
      </c>
      <c r="B60" s="23" t="s">
        <v>104</v>
      </c>
      <c r="C60" s="116"/>
      <c r="D60" s="117">
        <f>TRUNC(($D$17*C60),2)</f>
        <v>0</v>
      </c>
    </row>
    <row r="61" spans="1:4">
      <c r="A61" s="24" t="s">
        <v>31</v>
      </c>
      <c r="B61" s="23" t="s">
        <v>105</v>
      </c>
      <c r="C61" s="103"/>
      <c r="D61" s="42">
        <f>TRUNC(D60*C61,2)</f>
        <v>0</v>
      </c>
    </row>
    <row r="62" spans="1:4" ht="30">
      <c r="A62" s="24" t="s">
        <v>34</v>
      </c>
      <c r="B62" s="23" t="s">
        <v>106</v>
      </c>
      <c r="C62" s="116"/>
      <c r="D62" s="117">
        <f>TRUNC(($D$17*C62),2)</f>
        <v>0</v>
      </c>
    </row>
    <row r="63" spans="1:4">
      <c r="A63" s="24" t="s">
        <v>36</v>
      </c>
      <c r="B63" s="23" t="s">
        <v>107</v>
      </c>
      <c r="C63" s="103"/>
      <c r="D63" s="42">
        <f>TRUNC(($D$17*C63),2)</f>
        <v>0</v>
      </c>
    </row>
    <row r="64" spans="1:4" ht="30">
      <c r="A64" s="24" t="s">
        <v>39</v>
      </c>
      <c r="B64" s="23" t="s">
        <v>180</v>
      </c>
      <c r="C64" s="103"/>
      <c r="D64" s="42">
        <f>TRUNC(D63*C64,2)</f>
        <v>0</v>
      </c>
    </row>
    <row r="65" spans="1:5" ht="30">
      <c r="A65" s="24" t="s">
        <v>41</v>
      </c>
      <c r="B65" s="23" t="s">
        <v>108</v>
      </c>
      <c r="C65" s="116"/>
      <c r="D65" s="117">
        <f>TRUNC(($D$17*C65),2)</f>
        <v>0</v>
      </c>
    </row>
    <row r="66" spans="1:5">
      <c r="A66" s="24" t="s">
        <v>44</v>
      </c>
      <c r="D66" s="84">
        <f>TRUNC(SUM(D60:D65),2)</f>
        <v>0</v>
      </c>
    </row>
    <row r="67" spans="1:5">
      <c r="A67" s="24"/>
      <c r="D67" s="84"/>
    </row>
    <row r="68" spans="1:5">
      <c r="A68" s="147" t="s">
        <v>181</v>
      </c>
      <c r="B68" s="147"/>
      <c r="C68" s="105" t="s">
        <v>177</v>
      </c>
      <c r="D68" s="106">
        <f>D17</f>
        <v>0</v>
      </c>
    </row>
    <row r="69" spans="1:5">
      <c r="A69" s="147"/>
      <c r="B69" s="147"/>
      <c r="C69" s="108" t="s">
        <v>182</v>
      </c>
      <c r="D69" s="106">
        <f>D56</f>
        <v>0</v>
      </c>
    </row>
    <row r="70" spans="1:5">
      <c r="A70" s="147"/>
      <c r="B70" s="147"/>
      <c r="C70" s="105" t="s">
        <v>183</v>
      </c>
      <c r="D70" s="106">
        <f>D66</f>
        <v>0</v>
      </c>
    </row>
    <row r="71" spans="1:5">
      <c r="A71" s="147"/>
      <c r="B71" s="147"/>
      <c r="C71" s="108" t="s">
        <v>179</v>
      </c>
      <c r="D71" s="109">
        <f>TRUNC((SUM(D68:D70)),2)</f>
        <v>0</v>
      </c>
    </row>
    <row r="72" spans="1:5">
      <c r="A72" s="24"/>
      <c r="D72" s="84"/>
    </row>
    <row r="73" spans="1:5">
      <c r="A73" s="142" t="s">
        <v>120</v>
      </c>
      <c r="B73" s="143"/>
      <c r="C73" s="143"/>
      <c r="D73" s="143"/>
    </row>
    <row r="74" spans="1:5">
      <c r="A74" s="139" t="s">
        <v>121</v>
      </c>
      <c r="B74" s="139"/>
      <c r="C74" s="139"/>
      <c r="D74" s="139"/>
    </row>
    <row r="75" spans="1:5">
      <c r="A75" s="24" t="s">
        <v>122</v>
      </c>
      <c r="B75" t="s">
        <v>123</v>
      </c>
      <c r="C75" s="24" t="s">
        <v>124</v>
      </c>
      <c r="D75" s="24" t="s">
        <v>5</v>
      </c>
    </row>
    <row r="76" spans="1:5">
      <c r="A76" s="24" t="s">
        <v>28</v>
      </c>
      <c r="B76" t="s">
        <v>125</v>
      </c>
      <c r="C76" s="118"/>
      <c r="D76" s="84">
        <f t="shared" ref="D76:D81" si="1">TRUNC(($D$71*C76),2)</f>
        <v>0</v>
      </c>
      <c r="E76" s="104"/>
    </row>
    <row r="77" spans="1:5">
      <c r="A77" s="24" t="s">
        <v>31</v>
      </c>
      <c r="B77" t="s">
        <v>126</v>
      </c>
      <c r="C77" s="118"/>
      <c r="D77" s="84">
        <f t="shared" si="1"/>
        <v>0</v>
      </c>
      <c r="E77" s="104"/>
    </row>
    <row r="78" spans="1:5">
      <c r="A78" s="24" t="s">
        <v>34</v>
      </c>
      <c r="B78" t="s">
        <v>127</v>
      </c>
      <c r="C78" s="118"/>
      <c r="D78" s="84">
        <f t="shared" si="1"/>
        <v>0</v>
      </c>
      <c r="E78" s="104"/>
    </row>
    <row r="79" spans="1:5">
      <c r="A79" s="24" t="s">
        <v>36</v>
      </c>
      <c r="B79" t="s">
        <v>128</v>
      </c>
      <c r="C79" s="118"/>
      <c r="D79" s="84">
        <f t="shared" si="1"/>
        <v>0</v>
      </c>
      <c r="E79" s="104"/>
    </row>
    <row r="80" spans="1:5">
      <c r="A80" s="24" t="s">
        <v>39</v>
      </c>
      <c r="B80" t="s">
        <v>129</v>
      </c>
      <c r="C80" s="118"/>
      <c r="D80" s="84">
        <f t="shared" si="1"/>
        <v>0</v>
      </c>
      <c r="E80" s="104"/>
    </row>
    <row r="81" spans="1:5">
      <c r="A81" s="24" t="s">
        <v>41</v>
      </c>
      <c r="B81" t="s">
        <v>184</v>
      </c>
      <c r="C81" s="118"/>
      <c r="D81" s="84">
        <f t="shared" si="1"/>
        <v>0</v>
      </c>
      <c r="E81" s="104"/>
    </row>
    <row r="82" spans="1:5">
      <c r="A82" s="24" t="s">
        <v>44</v>
      </c>
      <c r="C82" s="118">
        <f>SUBTOTAL(109,Submódulo4.12511_4[Dias de ausência])</f>
        <v>0</v>
      </c>
      <c r="D82" s="84">
        <f>TRUNC(SUM(D76:D81),2)</f>
        <v>0</v>
      </c>
    </row>
    <row r="83" spans="1:5">
      <c r="A83" s="24"/>
      <c r="C83" s="24"/>
      <c r="D83" s="84"/>
    </row>
    <row r="84" spans="1:5">
      <c r="A84" s="144" t="s">
        <v>140</v>
      </c>
      <c r="B84" s="144"/>
      <c r="C84" s="144"/>
      <c r="D84" s="144"/>
    </row>
    <row r="85" spans="1:5">
      <c r="A85" s="24" t="s">
        <v>141</v>
      </c>
      <c r="B85" t="s">
        <v>142</v>
      </c>
      <c r="C85" s="24" t="s">
        <v>4</v>
      </c>
      <c r="D85" s="24" t="s">
        <v>5</v>
      </c>
    </row>
    <row r="86" spans="1:5">
      <c r="A86" s="24" t="s">
        <v>28</v>
      </c>
      <c r="B86" t="s">
        <v>143</v>
      </c>
      <c r="C86" s="24"/>
      <c r="D86" s="84"/>
    </row>
    <row r="87" spans="1:5">
      <c r="A87" s="24" t="s">
        <v>44</v>
      </c>
      <c r="C87" s="24"/>
      <c r="D87" s="84">
        <f>SUBTOTAL(109,Submódulo4.22612_31[Valor])</f>
        <v>0</v>
      </c>
    </row>
    <row r="89" spans="1:5">
      <c r="A89" s="139" t="s">
        <v>144</v>
      </c>
      <c r="B89" s="139"/>
      <c r="C89" s="139"/>
      <c r="D89" s="139"/>
    </row>
    <row r="90" spans="1:5">
      <c r="A90" s="24" t="s">
        <v>145</v>
      </c>
      <c r="B90" t="s">
        <v>146</v>
      </c>
      <c r="C90" s="24" t="s">
        <v>4</v>
      </c>
      <c r="D90" s="24" t="s">
        <v>5</v>
      </c>
    </row>
    <row r="91" spans="1:5">
      <c r="A91" s="24" t="s">
        <v>122</v>
      </c>
      <c r="B91" t="s">
        <v>123</v>
      </c>
      <c r="D91" s="84">
        <f>D82</f>
        <v>0</v>
      </c>
    </row>
    <row r="92" spans="1:5">
      <c r="A92" s="24" t="s">
        <v>141</v>
      </c>
      <c r="B92" t="s">
        <v>147</v>
      </c>
      <c r="D92" s="84">
        <f>Submódulo4.22612_31[[#Totals],[Valor]]</f>
        <v>0</v>
      </c>
    </row>
    <row r="93" spans="1:5">
      <c r="A93" s="24" t="s">
        <v>44</v>
      </c>
      <c r="D93" s="84">
        <f>TRUNC(SUM(D91:D92),2)</f>
        <v>0</v>
      </c>
    </row>
    <row r="95" spans="1:5">
      <c r="A95" s="140" t="s">
        <v>148</v>
      </c>
      <c r="B95" s="140"/>
      <c r="C95" s="140"/>
      <c r="D95" s="140"/>
    </row>
    <row r="96" spans="1:5">
      <c r="A96" s="24" t="s">
        <v>149</v>
      </c>
      <c r="B96" t="s">
        <v>150</v>
      </c>
      <c r="C96" s="24" t="s">
        <v>4</v>
      </c>
      <c r="D96" s="24" t="s">
        <v>5</v>
      </c>
    </row>
    <row r="97" spans="1:7">
      <c r="A97" s="24" t="s">
        <v>28</v>
      </c>
      <c r="B97" t="s">
        <v>151</v>
      </c>
      <c r="D97" s="84"/>
    </row>
    <row r="98" spans="1:7">
      <c r="A98" s="24" t="s">
        <v>31</v>
      </c>
      <c r="B98" t="s">
        <v>152</v>
      </c>
      <c r="D98" s="84"/>
    </row>
    <row r="99" spans="1:7">
      <c r="A99" s="24" t="s">
        <v>34</v>
      </c>
      <c r="B99" t="s">
        <v>153</v>
      </c>
      <c r="D99" s="84"/>
    </row>
    <row r="100" spans="1:7">
      <c r="A100" s="24" t="s">
        <v>36</v>
      </c>
      <c r="B100" t="s">
        <v>154</v>
      </c>
    </row>
    <row r="101" spans="1:7">
      <c r="A101" s="24" t="s">
        <v>44</v>
      </c>
      <c r="D101" s="84">
        <f>TRUNC(SUM(D97:D100),2)</f>
        <v>0</v>
      </c>
    </row>
    <row r="102" spans="1:7">
      <c r="A102" s="24"/>
      <c r="D102" s="84"/>
    </row>
    <row r="103" spans="1:7">
      <c r="A103" s="147" t="s">
        <v>185</v>
      </c>
      <c r="B103" s="147"/>
      <c r="C103" s="105" t="s">
        <v>177</v>
      </c>
      <c r="D103" s="106">
        <f>D17</f>
        <v>0</v>
      </c>
    </row>
    <row r="104" spans="1:7">
      <c r="A104" s="147"/>
      <c r="B104" s="147"/>
      <c r="C104" s="108" t="s">
        <v>182</v>
      </c>
      <c r="D104" s="106">
        <f>D56</f>
        <v>0</v>
      </c>
    </row>
    <row r="105" spans="1:7">
      <c r="A105" s="147"/>
      <c r="B105" s="147"/>
      <c r="C105" s="105" t="s">
        <v>183</v>
      </c>
      <c r="D105" s="106">
        <f>D66</f>
        <v>0</v>
      </c>
    </row>
    <row r="106" spans="1:7">
      <c r="A106" s="147"/>
      <c r="B106" s="147"/>
      <c r="C106" s="108" t="s">
        <v>186</v>
      </c>
      <c r="D106" s="106">
        <f>D93</f>
        <v>0</v>
      </c>
    </row>
    <row r="107" spans="1:7">
      <c r="A107" s="147"/>
      <c r="B107" s="147"/>
      <c r="C107" s="105" t="s">
        <v>187</v>
      </c>
      <c r="D107" s="106">
        <f>D101</f>
        <v>0</v>
      </c>
    </row>
    <row r="108" spans="1:7">
      <c r="A108" s="147"/>
      <c r="B108" s="147"/>
      <c r="C108" s="108" t="s">
        <v>179</v>
      </c>
      <c r="D108" s="109">
        <f>TRUNC((SUM(D103:D107)),2)</f>
        <v>0</v>
      </c>
    </row>
    <row r="109" spans="1:7">
      <c r="A109" s="24"/>
      <c r="D109" s="84"/>
    </row>
    <row r="110" spans="1:7">
      <c r="A110" s="140" t="s">
        <v>160</v>
      </c>
      <c r="B110" s="140"/>
      <c r="C110" s="140"/>
      <c r="D110" s="140"/>
      <c r="F110" s="146" t="s">
        <v>188</v>
      </c>
      <c r="G110" s="146"/>
    </row>
    <row r="111" spans="1:7">
      <c r="A111" s="24" t="s">
        <v>161</v>
      </c>
      <c r="B111" t="s">
        <v>162</v>
      </c>
      <c r="C111" s="24" t="s">
        <v>24</v>
      </c>
      <c r="D111" s="24" t="s">
        <v>5</v>
      </c>
      <c r="F111" s="119" t="s">
        <v>189</v>
      </c>
      <c r="G111" s="120"/>
    </row>
    <row r="112" spans="1:7">
      <c r="A112" s="24" t="s">
        <v>28</v>
      </c>
      <c r="B112" t="s">
        <v>163</v>
      </c>
      <c r="C112" s="112">
        <v>0.08</v>
      </c>
      <c r="D112" s="113"/>
      <c r="F112" s="121" t="s">
        <v>190</v>
      </c>
      <c r="G112" s="122"/>
    </row>
    <row r="113" spans="1:7">
      <c r="A113" s="24" t="s">
        <v>31</v>
      </c>
      <c r="B113" t="s">
        <v>45</v>
      </c>
      <c r="C113" s="112">
        <v>0.06</v>
      </c>
      <c r="D113" s="113"/>
      <c r="F113" s="119" t="s">
        <v>191</v>
      </c>
      <c r="G113" s="123"/>
    </row>
    <row r="114" spans="1:7">
      <c r="A114" s="24" t="s">
        <v>34</v>
      </c>
      <c r="B114" t="s">
        <v>164</v>
      </c>
      <c r="C114" s="112"/>
      <c r="D114" s="113"/>
      <c r="F114" s="121" t="s">
        <v>188</v>
      </c>
      <c r="G114" s="122"/>
    </row>
    <row r="115" spans="1:7">
      <c r="A115" s="24" t="s">
        <v>165</v>
      </c>
      <c r="B115" t="s">
        <v>46</v>
      </c>
      <c r="C115" s="112"/>
      <c r="D115" s="113"/>
    </row>
    <row r="116" spans="1:7">
      <c r="A116" s="24" t="s">
        <v>166</v>
      </c>
      <c r="B116" t="s">
        <v>48</v>
      </c>
      <c r="C116" s="112"/>
      <c r="D116" s="113"/>
    </row>
    <row r="117" spans="1:7">
      <c r="A117" s="24" t="s">
        <v>167</v>
      </c>
      <c r="B117" t="s">
        <v>50</v>
      </c>
      <c r="C117" s="112"/>
      <c r="D117" s="113"/>
    </row>
    <row r="118" spans="1:7">
      <c r="A118" s="24" t="s">
        <v>44</v>
      </c>
      <c r="C118" s="124"/>
      <c r="D118" s="84"/>
    </row>
    <row r="119" spans="1:7">
      <c r="A119" s="24"/>
      <c r="C119" s="124"/>
      <c r="D119" s="84"/>
    </row>
    <row r="121" spans="1:7">
      <c r="A121" s="140" t="s">
        <v>168</v>
      </c>
      <c r="B121" s="140"/>
      <c r="C121" s="140"/>
      <c r="D121" s="140"/>
    </row>
    <row r="122" spans="1:7">
      <c r="A122" s="24" t="s">
        <v>2</v>
      </c>
      <c r="B122" s="24" t="s">
        <v>169</v>
      </c>
      <c r="C122" s="24" t="s">
        <v>95</v>
      </c>
      <c r="D122" s="24" t="s">
        <v>5</v>
      </c>
    </row>
    <row r="123" spans="1:7">
      <c r="A123" s="24" t="s">
        <v>28</v>
      </c>
      <c r="B123" t="s">
        <v>22</v>
      </c>
      <c r="D123" s="84"/>
    </row>
    <row r="124" spans="1:7">
      <c r="A124" s="24" t="s">
        <v>31</v>
      </c>
      <c r="B124" t="s">
        <v>47</v>
      </c>
      <c r="D124" s="84"/>
    </row>
    <row r="125" spans="1:7">
      <c r="A125" s="24" t="s">
        <v>34</v>
      </c>
      <c r="B125" t="s">
        <v>101</v>
      </c>
      <c r="D125" s="84"/>
    </row>
    <row r="126" spans="1:7">
      <c r="A126" s="24" t="s">
        <v>36</v>
      </c>
      <c r="B126" t="s">
        <v>170</v>
      </c>
      <c r="D126" s="84"/>
    </row>
    <row r="127" spans="1:7">
      <c r="A127" s="24" t="s">
        <v>39</v>
      </c>
      <c r="B127" t="s">
        <v>148</v>
      </c>
      <c r="D127" s="84"/>
    </row>
    <row r="128" spans="1:7">
      <c r="A128" t="s">
        <v>171</v>
      </c>
      <c r="D128" s="84"/>
    </row>
    <row r="129" spans="1:4">
      <c r="A129" s="24" t="s">
        <v>41</v>
      </c>
      <c r="B129" t="s">
        <v>160</v>
      </c>
      <c r="D129" s="84"/>
    </row>
    <row r="130" spans="1:4">
      <c r="A130" s="48" t="s">
        <v>172</v>
      </c>
      <c r="B130" s="48"/>
      <c r="C130" s="48"/>
      <c r="D130" s="126"/>
    </row>
  </sheetData>
  <mergeCells count="20">
    <mergeCell ref="A1:D1"/>
    <mergeCell ref="F1:G1"/>
    <mergeCell ref="A9:D9"/>
    <mergeCell ref="A19:D19"/>
    <mergeCell ref="A20:D20"/>
    <mergeCell ref="F110:G110"/>
    <mergeCell ref="A121:D121"/>
    <mergeCell ref="A26:B28"/>
    <mergeCell ref="A68:B71"/>
    <mergeCell ref="A103:B108"/>
    <mergeCell ref="A74:D74"/>
    <mergeCell ref="A84:D84"/>
    <mergeCell ref="A89:D89"/>
    <mergeCell ref="A95:D95"/>
    <mergeCell ref="A110:D110"/>
    <mergeCell ref="A30:D30"/>
    <mergeCell ref="A42:D42"/>
    <mergeCell ref="A51:D51"/>
    <mergeCell ref="A58:D58"/>
    <mergeCell ref="A73:D73"/>
  </mergeCells>
  <pageMargins left="0.75" right="0.75" top="1" bottom="1" header="0.5" footer="0.5"/>
  <legacyDrawing r:id="rId1"/>
  <tableParts count="14">
    <tablePart r:id="rId2"/>
    <tablePart r:id="rId3"/>
    <tablePart r:id="rId4"/>
    <tablePart r:id="rId5"/>
    <tablePart r:id="rId6"/>
    <tablePart r:id="rId7"/>
    <tablePart r:id="rId8"/>
    <tablePart r:id="rId9"/>
    <tablePart r:id="rId10"/>
    <tablePart r:id="rId11"/>
    <tablePart r:id="rId12"/>
    <tablePart r:id="rId13"/>
    <tablePart r:id="rId14"/>
    <tablePart r:id="rId15"/>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29"/>
  <sheetViews>
    <sheetView workbookViewId="0">
      <selection activeCell="C60" sqref="C60:C65"/>
    </sheetView>
  </sheetViews>
  <sheetFormatPr defaultColWidth="9.140625" defaultRowHeight="15"/>
  <cols>
    <col min="1" max="1" width="26.85546875" customWidth="1"/>
    <col min="2" max="2" width="40.5703125" customWidth="1"/>
    <col min="3" max="3" width="31" customWidth="1"/>
    <col min="4" max="4" width="21.28515625" customWidth="1"/>
    <col min="6" max="6" width="35.42578125" customWidth="1"/>
    <col min="7" max="7" width="11.28515625" customWidth="1"/>
  </cols>
  <sheetData>
    <row r="1" spans="1:7">
      <c r="A1" s="145" t="s">
        <v>0</v>
      </c>
      <c r="B1" s="145"/>
      <c r="C1" s="145"/>
      <c r="D1" s="145"/>
      <c r="F1" s="144" t="s">
        <v>1</v>
      </c>
      <c r="G1" s="144"/>
    </row>
    <row r="2" spans="1:7">
      <c r="A2" s="24" t="s">
        <v>2</v>
      </c>
      <c r="B2" t="s">
        <v>3</v>
      </c>
      <c r="C2" s="24" t="s">
        <v>4</v>
      </c>
      <c r="D2" s="24" t="s">
        <v>5</v>
      </c>
      <c r="F2" t="s">
        <v>3</v>
      </c>
      <c r="G2" t="s">
        <v>5</v>
      </c>
    </row>
    <row r="3" spans="1:7">
      <c r="A3" s="24">
        <v>1</v>
      </c>
      <c r="B3" t="s">
        <v>6</v>
      </c>
      <c r="C3" s="24"/>
      <c r="D3" s="24" t="s">
        <v>7</v>
      </c>
      <c r="F3" t="s">
        <v>8</v>
      </c>
      <c r="G3" s="98"/>
    </row>
    <row r="4" spans="1:7">
      <c r="A4" s="24">
        <v>2</v>
      </c>
      <c r="B4" t="s">
        <v>9</v>
      </c>
      <c r="C4" s="24"/>
      <c r="D4" s="24" t="s">
        <v>95</v>
      </c>
      <c r="F4" t="s">
        <v>11</v>
      </c>
      <c r="G4" s="98"/>
    </row>
    <row r="5" spans="1:7">
      <c r="A5" s="24">
        <v>3</v>
      </c>
      <c r="B5" t="s">
        <v>12</v>
      </c>
      <c r="C5" s="24" t="s">
        <v>192</v>
      </c>
      <c r="D5" s="99"/>
      <c r="F5" t="s">
        <v>14</v>
      </c>
      <c r="G5" s="97"/>
    </row>
    <row r="6" spans="1:7">
      <c r="A6" s="24">
        <v>4</v>
      </c>
      <c r="B6" t="s">
        <v>15</v>
      </c>
      <c r="C6" s="24" t="s">
        <v>174</v>
      </c>
      <c r="D6" s="24" t="s">
        <v>193</v>
      </c>
      <c r="F6" t="s">
        <v>18</v>
      </c>
      <c r="G6" s="100"/>
    </row>
    <row r="7" spans="1:7">
      <c r="A7" s="24">
        <v>5</v>
      </c>
      <c r="B7" t="s">
        <v>19</v>
      </c>
      <c r="C7" s="24"/>
      <c r="D7" s="24" t="s">
        <v>20</v>
      </c>
    </row>
    <row r="8" spans="1:7">
      <c r="F8" s="101"/>
      <c r="G8" s="102"/>
    </row>
    <row r="9" spans="1:7">
      <c r="A9" s="140" t="s">
        <v>22</v>
      </c>
      <c r="B9" s="140"/>
      <c r="C9" s="140"/>
      <c r="D9" s="140"/>
      <c r="F9" s="101"/>
      <c r="G9" s="102"/>
    </row>
    <row r="10" spans="1:7">
      <c r="A10" s="24" t="s">
        <v>25</v>
      </c>
      <c r="B10" t="s">
        <v>26</v>
      </c>
      <c r="C10" s="24" t="s">
        <v>4</v>
      </c>
      <c r="D10" s="24" t="s">
        <v>5</v>
      </c>
      <c r="F10" s="101"/>
      <c r="G10" s="102"/>
    </row>
    <row r="11" spans="1:7">
      <c r="A11" s="24" t="s">
        <v>28</v>
      </c>
      <c r="B11" t="s">
        <v>29</v>
      </c>
      <c r="C11" s="24"/>
      <c r="D11" s="84">
        <f>D5</f>
        <v>0</v>
      </c>
      <c r="F11" s="101"/>
      <c r="G11" s="102"/>
    </row>
    <row r="12" spans="1:7">
      <c r="A12" s="24" t="s">
        <v>31</v>
      </c>
      <c r="B12" t="s">
        <v>32</v>
      </c>
      <c r="C12" s="24"/>
      <c r="D12" s="84"/>
      <c r="F12" s="101"/>
      <c r="G12" s="102"/>
    </row>
    <row r="13" spans="1:7">
      <c r="A13" s="24" t="s">
        <v>34</v>
      </c>
      <c r="B13" t="s">
        <v>35</v>
      </c>
      <c r="C13" s="24"/>
      <c r="D13" s="84"/>
      <c r="F13" s="101"/>
      <c r="G13" s="102"/>
    </row>
    <row r="14" spans="1:7">
      <c r="A14" s="24" t="s">
        <v>36</v>
      </c>
      <c r="B14" t="s">
        <v>37</v>
      </c>
      <c r="C14" s="24"/>
      <c r="D14" s="84"/>
      <c r="F14" s="101"/>
      <c r="G14" s="102"/>
    </row>
    <row r="15" spans="1:7">
      <c r="A15" s="24" t="s">
        <v>39</v>
      </c>
      <c r="B15" t="s">
        <v>40</v>
      </c>
      <c r="C15" s="24"/>
      <c r="D15" s="84"/>
      <c r="F15" s="101"/>
      <c r="G15" s="102"/>
    </row>
    <row r="16" spans="1:7">
      <c r="A16" s="24" t="s">
        <v>41</v>
      </c>
      <c r="B16" t="s">
        <v>42</v>
      </c>
      <c r="C16" s="24"/>
      <c r="D16" s="84"/>
      <c r="F16" s="101"/>
      <c r="G16" s="102"/>
    </row>
    <row r="17" spans="1:7">
      <c r="A17" s="24" t="s">
        <v>44</v>
      </c>
      <c r="C17" s="24"/>
      <c r="D17" s="84">
        <f>TRUNC(SUM(D11:D16),2)</f>
        <v>0</v>
      </c>
      <c r="F17" s="101"/>
      <c r="G17" s="102"/>
    </row>
    <row r="18" spans="1:7">
      <c r="F18" s="101"/>
      <c r="G18" s="102"/>
    </row>
    <row r="19" spans="1:7">
      <c r="A19" s="143" t="s">
        <v>47</v>
      </c>
      <c r="B19" s="143"/>
      <c r="C19" s="143"/>
      <c r="D19" s="143"/>
      <c r="F19" s="101"/>
      <c r="G19" s="102"/>
    </row>
    <row r="20" spans="1:7">
      <c r="A20" s="144" t="s">
        <v>49</v>
      </c>
      <c r="B20" s="144"/>
      <c r="C20" s="144"/>
      <c r="D20" s="144"/>
      <c r="F20" s="101"/>
      <c r="G20" s="102"/>
    </row>
    <row r="21" spans="1:7">
      <c r="A21" s="24" t="s">
        <v>51</v>
      </c>
      <c r="B21" t="s">
        <v>52</v>
      </c>
      <c r="C21" s="24" t="s">
        <v>4</v>
      </c>
      <c r="D21" s="24" t="s">
        <v>5</v>
      </c>
      <c r="F21" s="101"/>
      <c r="G21" s="102"/>
    </row>
    <row r="22" spans="1:7">
      <c r="A22" s="24" t="s">
        <v>28</v>
      </c>
      <c r="B22" t="s">
        <v>53</v>
      </c>
      <c r="C22" s="103">
        <f>(1/12)</f>
        <v>8.3333333333333329E-2</v>
      </c>
      <c r="D22" s="84">
        <f>TRUNC($D$17*C22,2)</f>
        <v>0</v>
      </c>
      <c r="F22" s="101"/>
      <c r="G22" s="102"/>
    </row>
    <row r="23" spans="1:7">
      <c r="A23" s="24" t="s">
        <v>31</v>
      </c>
      <c r="B23" t="s">
        <v>55</v>
      </c>
      <c r="C23" s="103">
        <f>(((1+1/3)/12))</f>
        <v>0.1111111111111111</v>
      </c>
      <c r="D23" s="84">
        <f>TRUNC($D$17*C23,2)</f>
        <v>0</v>
      </c>
      <c r="E23" s="104"/>
      <c r="F23" s="101"/>
      <c r="G23" s="102"/>
    </row>
    <row r="24" spans="1:7">
      <c r="A24" s="24" t="s">
        <v>44</v>
      </c>
      <c r="D24" s="84">
        <f>TRUNC(SUM(D22:D23),2)</f>
        <v>0</v>
      </c>
      <c r="F24" s="101"/>
      <c r="G24" s="102"/>
    </row>
    <row r="25" spans="1:7">
      <c r="A25" s="24"/>
      <c r="D25" s="84"/>
      <c r="F25" s="101"/>
      <c r="G25" s="102"/>
    </row>
    <row r="26" spans="1:7">
      <c r="A26" s="147" t="s">
        <v>176</v>
      </c>
      <c r="B26" s="147"/>
      <c r="C26" s="105" t="s">
        <v>177</v>
      </c>
      <c r="D26" s="106">
        <f>D17</f>
        <v>0</v>
      </c>
      <c r="F26" s="107"/>
      <c r="G26" s="107"/>
    </row>
    <row r="27" spans="1:7">
      <c r="A27" s="147"/>
      <c r="B27" s="147"/>
      <c r="C27" s="108" t="s">
        <v>178</v>
      </c>
      <c r="D27" s="106">
        <f>D24</f>
        <v>0</v>
      </c>
      <c r="F27" s="107"/>
      <c r="G27" s="107"/>
    </row>
    <row r="28" spans="1:7">
      <c r="A28" s="147"/>
      <c r="B28" s="147"/>
      <c r="C28" s="105" t="s">
        <v>179</v>
      </c>
      <c r="D28" s="109">
        <f>TRUNC((SUM(D26:D27)),2)</f>
        <v>0</v>
      </c>
      <c r="F28" s="107"/>
      <c r="G28" s="107"/>
    </row>
    <row r="29" spans="1:7">
      <c r="A29" s="24"/>
      <c r="B29" s="24"/>
      <c r="C29" s="110"/>
      <c r="F29" s="107"/>
      <c r="G29" s="107"/>
    </row>
    <row r="30" spans="1:7">
      <c r="A30" s="144" t="s">
        <v>66</v>
      </c>
      <c r="B30" s="144"/>
      <c r="C30" s="144"/>
      <c r="D30" s="144"/>
    </row>
    <row r="31" spans="1:7">
      <c r="A31" s="24" t="s">
        <v>67</v>
      </c>
      <c r="B31" t="s">
        <v>68</v>
      </c>
      <c r="C31" s="24" t="s">
        <v>24</v>
      </c>
      <c r="D31" s="24" t="s">
        <v>69</v>
      </c>
    </row>
    <row r="32" spans="1:7">
      <c r="A32" s="24" t="s">
        <v>28</v>
      </c>
      <c r="B32" t="s">
        <v>70</v>
      </c>
      <c r="C32" s="111">
        <v>0.2</v>
      </c>
      <c r="D32" s="84">
        <f t="shared" ref="D32:D39" si="0">TRUNC(($D$28*C32),2)</f>
        <v>0</v>
      </c>
    </row>
    <row r="33" spans="1:4">
      <c r="A33" s="24" t="s">
        <v>31</v>
      </c>
      <c r="B33" t="s">
        <v>71</v>
      </c>
      <c r="C33" s="111">
        <v>2.5000000000000001E-2</v>
      </c>
      <c r="D33" s="84">
        <f t="shared" si="0"/>
        <v>0</v>
      </c>
    </row>
    <row r="34" spans="1:4">
      <c r="A34" s="24" t="s">
        <v>34</v>
      </c>
      <c r="B34" t="s">
        <v>72</v>
      </c>
      <c r="C34" s="112">
        <f>G6</f>
        <v>0</v>
      </c>
      <c r="D34" s="113">
        <f t="shared" si="0"/>
        <v>0</v>
      </c>
    </row>
    <row r="35" spans="1:4">
      <c r="A35" s="24" t="s">
        <v>36</v>
      </c>
      <c r="B35" t="s">
        <v>73</v>
      </c>
      <c r="C35" s="111">
        <v>1.4999999999999999E-2</v>
      </c>
      <c r="D35" s="84">
        <f t="shared" si="0"/>
        <v>0</v>
      </c>
    </row>
    <row r="36" spans="1:4">
      <c r="A36" s="24" t="s">
        <v>39</v>
      </c>
      <c r="B36" t="s">
        <v>74</v>
      </c>
      <c r="C36" s="111">
        <v>0.01</v>
      </c>
      <c r="D36" s="84">
        <f t="shared" si="0"/>
        <v>0</v>
      </c>
    </row>
    <row r="37" spans="1:4">
      <c r="A37" s="24" t="s">
        <v>41</v>
      </c>
      <c r="B37" t="s">
        <v>75</v>
      </c>
      <c r="C37" s="111">
        <v>6.0000000000000001E-3</v>
      </c>
      <c r="D37" s="84">
        <f t="shared" si="0"/>
        <v>0</v>
      </c>
    </row>
    <row r="38" spans="1:4">
      <c r="A38" s="24" t="s">
        <v>76</v>
      </c>
      <c r="B38" t="s">
        <v>77</v>
      </c>
      <c r="C38" s="111">
        <v>2E-3</v>
      </c>
      <c r="D38" s="84">
        <f t="shared" si="0"/>
        <v>0</v>
      </c>
    </row>
    <row r="39" spans="1:4">
      <c r="A39" s="24" t="s">
        <v>78</v>
      </c>
      <c r="B39" t="s">
        <v>79</v>
      </c>
      <c r="C39" s="111">
        <v>0.08</v>
      </c>
      <c r="D39" s="84">
        <f t="shared" si="0"/>
        <v>0</v>
      </c>
    </row>
    <row r="40" spans="1:4">
      <c r="A40" s="24" t="s">
        <v>44</v>
      </c>
      <c r="C40" s="114">
        <f>SUBTOTAL(109,Submódulo2.267_75136[Percentual])</f>
        <v>0.33800000000000002</v>
      </c>
      <c r="D40" s="84">
        <f>TRUNC(SUM(D32:D39),2)</f>
        <v>0</v>
      </c>
    </row>
    <row r="41" spans="1:4">
      <c r="A41" s="24"/>
      <c r="C41" s="114"/>
      <c r="D41" s="84"/>
    </row>
    <row r="42" spans="1:4">
      <c r="A42" s="144" t="s">
        <v>84</v>
      </c>
      <c r="B42" s="144"/>
      <c r="C42" s="144"/>
      <c r="D42" s="144"/>
    </row>
    <row r="43" spans="1:4">
      <c r="A43" s="24" t="s">
        <v>85</v>
      </c>
      <c r="B43" t="s">
        <v>86</v>
      </c>
      <c r="C43" s="24" t="s">
        <v>4</v>
      </c>
      <c r="D43" s="24" t="s">
        <v>5</v>
      </c>
    </row>
    <row r="44" spans="1:4">
      <c r="A44" s="24" t="s">
        <v>28</v>
      </c>
      <c r="B44" t="s">
        <v>87</v>
      </c>
      <c r="D44" s="113"/>
    </row>
    <row r="45" spans="1:4">
      <c r="A45" s="24" t="s">
        <v>31</v>
      </c>
      <c r="B45" t="s">
        <v>88</v>
      </c>
      <c r="D45" s="113"/>
    </row>
    <row r="46" spans="1:4">
      <c r="A46" s="24" t="s">
        <v>34</v>
      </c>
      <c r="B46" t="s">
        <v>89</v>
      </c>
      <c r="D46" s="113"/>
    </row>
    <row r="47" spans="1:4">
      <c r="A47" s="24" t="s">
        <v>36</v>
      </c>
      <c r="B47" t="s">
        <v>90</v>
      </c>
      <c r="C47" s="115" t="s">
        <v>174</v>
      </c>
      <c r="D47" s="113"/>
    </row>
    <row r="48" spans="1:4">
      <c r="A48" s="24" t="s">
        <v>39</v>
      </c>
      <c r="B48" t="s">
        <v>92</v>
      </c>
      <c r="C48" s="115" t="s">
        <v>174</v>
      </c>
      <c r="D48" s="113"/>
    </row>
    <row r="49" spans="1:4">
      <c r="A49" s="24" t="s">
        <v>44</v>
      </c>
      <c r="D49" s="84">
        <f>TRUNC(SUM(D44:D48),2)</f>
        <v>0</v>
      </c>
    </row>
    <row r="50" spans="1:4">
      <c r="A50" s="24"/>
      <c r="D50" s="84"/>
    </row>
    <row r="51" spans="1:4">
      <c r="A51" s="144" t="s">
        <v>98</v>
      </c>
      <c r="B51" s="144"/>
      <c r="C51" s="144"/>
      <c r="D51" s="144"/>
    </row>
    <row r="52" spans="1:4">
      <c r="A52" s="24" t="s">
        <v>99</v>
      </c>
      <c r="B52" t="s">
        <v>100</v>
      </c>
      <c r="C52" s="24" t="s">
        <v>4</v>
      </c>
      <c r="D52" s="24" t="s">
        <v>5</v>
      </c>
    </row>
    <row r="53" spans="1:4">
      <c r="A53" s="24" t="s">
        <v>51</v>
      </c>
      <c r="B53" t="s">
        <v>52</v>
      </c>
      <c r="C53" s="24"/>
      <c r="D53" s="84">
        <f>D24</f>
        <v>0</v>
      </c>
    </row>
    <row r="54" spans="1:4">
      <c r="A54" s="24" t="s">
        <v>67</v>
      </c>
      <c r="B54" t="s">
        <v>68</v>
      </c>
      <c r="C54" s="24"/>
      <c r="D54" s="84">
        <f>D40</f>
        <v>0</v>
      </c>
    </row>
    <row r="55" spans="1:4">
      <c r="A55" s="24" t="s">
        <v>85</v>
      </c>
      <c r="B55" t="s">
        <v>86</v>
      </c>
      <c r="C55" s="24"/>
      <c r="D55" s="84">
        <f>D49</f>
        <v>0</v>
      </c>
    </row>
    <row r="56" spans="1:4">
      <c r="A56" s="24" t="s">
        <v>44</v>
      </c>
      <c r="C56" s="24"/>
      <c r="D56" s="84">
        <f>TRUNC(SUM(D53:D55),2)</f>
        <v>0</v>
      </c>
    </row>
    <row r="58" spans="1:4">
      <c r="A58" s="140" t="s">
        <v>101</v>
      </c>
      <c r="B58" s="140"/>
      <c r="C58" s="140"/>
      <c r="D58" s="140"/>
    </row>
    <row r="59" spans="1:4">
      <c r="A59" s="24" t="s">
        <v>102</v>
      </c>
      <c r="B59" t="s">
        <v>103</v>
      </c>
      <c r="C59" s="24" t="s">
        <v>4</v>
      </c>
      <c r="D59" s="24" t="s">
        <v>5</v>
      </c>
    </row>
    <row r="60" spans="1:4">
      <c r="A60" s="24" t="s">
        <v>28</v>
      </c>
      <c r="B60" s="23" t="s">
        <v>104</v>
      </c>
      <c r="C60" s="116"/>
      <c r="D60" s="117">
        <f>TRUNC(($D$17*C60),2)</f>
        <v>0</v>
      </c>
    </row>
    <row r="61" spans="1:4" ht="30">
      <c r="A61" s="24" t="s">
        <v>31</v>
      </c>
      <c r="B61" s="23" t="s">
        <v>105</v>
      </c>
      <c r="C61" s="103"/>
      <c r="D61" s="42">
        <f>TRUNC(D60*C61,2)</f>
        <v>0</v>
      </c>
    </row>
    <row r="62" spans="1:4" ht="30">
      <c r="A62" s="24" t="s">
        <v>34</v>
      </c>
      <c r="B62" s="23" t="s">
        <v>106</v>
      </c>
      <c r="C62" s="116"/>
      <c r="D62" s="117">
        <f>TRUNC(($D$17*C62),2)</f>
        <v>0</v>
      </c>
    </row>
    <row r="63" spans="1:4">
      <c r="A63" s="24" t="s">
        <v>36</v>
      </c>
      <c r="B63" s="23" t="s">
        <v>107</v>
      </c>
      <c r="C63" s="103"/>
      <c r="D63" s="42">
        <f>TRUNC(($D$17*C63),2)</f>
        <v>0</v>
      </c>
    </row>
    <row r="64" spans="1:4" ht="45">
      <c r="A64" s="24" t="s">
        <v>39</v>
      </c>
      <c r="B64" s="23" t="s">
        <v>180</v>
      </c>
      <c r="C64" s="103"/>
      <c r="D64" s="42">
        <f>TRUNC(D63*C64,2)</f>
        <v>0</v>
      </c>
    </row>
    <row r="65" spans="1:5" ht="30">
      <c r="A65" s="24" t="s">
        <v>41</v>
      </c>
      <c r="B65" s="23" t="s">
        <v>108</v>
      </c>
      <c r="C65" s="116"/>
      <c r="D65" s="117">
        <f>TRUNC(($D$17*C65),2)</f>
        <v>0</v>
      </c>
    </row>
    <row r="66" spans="1:5">
      <c r="A66" s="24" t="s">
        <v>44</v>
      </c>
      <c r="D66" s="84">
        <f>TRUNC(SUM(D60:D65),2)</f>
        <v>0</v>
      </c>
    </row>
    <row r="67" spans="1:5">
      <c r="A67" s="24"/>
      <c r="D67" s="84"/>
    </row>
    <row r="68" spans="1:5">
      <c r="A68" s="147" t="s">
        <v>181</v>
      </c>
      <c r="B68" s="147"/>
      <c r="C68" s="105" t="s">
        <v>177</v>
      </c>
      <c r="D68" s="106">
        <f>D17</f>
        <v>0</v>
      </c>
    </row>
    <row r="69" spans="1:5">
      <c r="A69" s="147"/>
      <c r="B69" s="147"/>
      <c r="C69" s="108" t="s">
        <v>182</v>
      </c>
      <c r="D69" s="106">
        <f>D56</f>
        <v>0</v>
      </c>
    </row>
    <row r="70" spans="1:5">
      <c r="A70" s="147"/>
      <c r="B70" s="147"/>
      <c r="C70" s="105" t="s">
        <v>183</v>
      </c>
      <c r="D70" s="106">
        <f>D66</f>
        <v>0</v>
      </c>
    </row>
    <row r="71" spans="1:5">
      <c r="A71" s="147"/>
      <c r="B71" s="147"/>
      <c r="C71" s="108" t="s">
        <v>179</v>
      </c>
      <c r="D71" s="109">
        <f>TRUNC((SUM(D68:D70)),2)</f>
        <v>0</v>
      </c>
    </row>
    <row r="72" spans="1:5">
      <c r="A72" s="24"/>
      <c r="D72" s="84"/>
    </row>
    <row r="73" spans="1:5">
      <c r="A73" s="142" t="s">
        <v>120</v>
      </c>
      <c r="B73" s="143"/>
      <c r="C73" s="143"/>
      <c r="D73" s="143"/>
    </row>
    <row r="74" spans="1:5">
      <c r="A74" s="139" t="s">
        <v>121</v>
      </c>
      <c r="B74" s="139"/>
      <c r="C74" s="139"/>
      <c r="D74" s="139"/>
    </row>
    <row r="75" spans="1:5">
      <c r="A75" s="24" t="s">
        <v>122</v>
      </c>
      <c r="B75" t="s">
        <v>123</v>
      </c>
      <c r="C75" s="24" t="s">
        <v>124</v>
      </c>
      <c r="D75" s="24" t="s">
        <v>5</v>
      </c>
    </row>
    <row r="76" spans="1:5">
      <c r="A76" s="24" t="s">
        <v>28</v>
      </c>
      <c r="B76" t="s">
        <v>125</v>
      </c>
      <c r="C76" s="118"/>
      <c r="D76" s="84">
        <f t="shared" ref="D76:D81" si="1">TRUNC(($D$71*C76),2)</f>
        <v>0</v>
      </c>
      <c r="E76" s="104"/>
    </row>
    <row r="77" spans="1:5">
      <c r="A77" s="24" t="s">
        <v>31</v>
      </c>
      <c r="B77" t="s">
        <v>126</v>
      </c>
      <c r="C77" s="118"/>
      <c r="D77" s="84">
        <f t="shared" si="1"/>
        <v>0</v>
      </c>
      <c r="E77" s="104"/>
    </row>
    <row r="78" spans="1:5">
      <c r="A78" s="24" t="s">
        <v>34</v>
      </c>
      <c r="B78" t="s">
        <v>127</v>
      </c>
      <c r="C78" s="118"/>
      <c r="D78" s="84">
        <f t="shared" si="1"/>
        <v>0</v>
      </c>
      <c r="E78" s="104"/>
    </row>
    <row r="79" spans="1:5">
      <c r="A79" s="24" t="s">
        <v>36</v>
      </c>
      <c r="B79" t="s">
        <v>128</v>
      </c>
      <c r="C79" s="118"/>
      <c r="D79" s="84">
        <f t="shared" si="1"/>
        <v>0</v>
      </c>
      <c r="E79" s="104"/>
    </row>
    <row r="80" spans="1:5">
      <c r="A80" s="24" t="s">
        <v>39</v>
      </c>
      <c r="B80" t="s">
        <v>129</v>
      </c>
      <c r="C80" s="118"/>
      <c r="D80" s="84">
        <f t="shared" si="1"/>
        <v>0</v>
      </c>
      <c r="E80" s="104"/>
    </row>
    <row r="81" spans="1:5">
      <c r="A81" s="24" t="s">
        <v>41</v>
      </c>
      <c r="B81" t="s">
        <v>184</v>
      </c>
      <c r="C81" s="118"/>
      <c r="D81" s="84">
        <f t="shared" si="1"/>
        <v>0</v>
      </c>
      <c r="E81" s="104"/>
    </row>
    <row r="82" spans="1:5">
      <c r="A82" s="24" t="s">
        <v>44</v>
      </c>
      <c r="C82" s="118">
        <f>SUBTOTAL(109,Submódulo4.12511_4132[Dias de ausência])</f>
        <v>0</v>
      </c>
      <c r="D82" s="84">
        <f>TRUNC(SUM(D76:D81),2)</f>
        <v>0</v>
      </c>
    </row>
    <row r="83" spans="1:5">
      <c r="A83" s="24"/>
      <c r="C83" s="24"/>
      <c r="D83" s="84"/>
    </row>
    <row r="84" spans="1:5">
      <c r="A84" s="144" t="s">
        <v>140</v>
      </c>
      <c r="B84" s="144"/>
      <c r="C84" s="144"/>
      <c r="D84" s="144"/>
    </row>
    <row r="85" spans="1:5">
      <c r="A85" s="24" t="s">
        <v>141</v>
      </c>
      <c r="B85" t="s">
        <v>142</v>
      </c>
      <c r="C85" s="24" t="s">
        <v>4</v>
      </c>
      <c r="D85" s="24" t="s">
        <v>5</v>
      </c>
    </row>
    <row r="86" spans="1:5">
      <c r="A86" s="24" t="s">
        <v>28</v>
      </c>
      <c r="B86" t="s">
        <v>143</v>
      </c>
      <c r="C86" s="24"/>
      <c r="D86" s="84"/>
    </row>
    <row r="87" spans="1:5">
      <c r="A87" s="24" t="s">
        <v>44</v>
      </c>
      <c r="C87" s="24"/>
      <c r="D87" s="84">
        <f>SUBTOTAL(109,Submódulo4.22612_31129[Valor])</f>
        <v>0</v>
      </c>
    </row>
    <row r="89" spans="1:5">
      <c r="A89" s="139" t="s">
        <v>144</v>
      </c>
      <c r="B89" s="139"/>
      <c r="C89" s="139"/>
      <c r="D89" s="139"/>
    </row>
    <row r="90" spans="1:5">
      <c r="A90" s="24" t="s">
        <v>145</v>
      </c>
      <c r="B90" t="s">
        <v>146</v>
      </c>
      <c r="C90" s="24" t="s">
        <v>4</v>
      </c>
      <c r="D90" s="24" t="s">
        <v>5</v>
      </c>
    </row>
    <row r="91" spans="1:5">
      <c r="A91" s="24" t="s">
        <v>122</v>
      </c>
      <c r="B91" t="s">
        <v>123</v>
      </c>
      <c r="D91" s="84">
        <f>D82</f>
        <v>0</v>
      </c>
    </row>
    <row r="92" spans="1:5">
      <c r="A92" s="24" t="s">
        <v>141</v>
      </c>
      <c r="B92" t="s">
        <v>147</v>
      </c>
      <c r="D92" s="84">
        <f>Submódulo4.22612_31129[[#Totals],[Valor]]</f>
        <v>0</v>
      </c>
    </row>
    <row r="93" spans="1:5">
      <c r="A93" s="24" t="s">
        <v>44</v>
      </c>
      <c r="D93" s="84">
        <f>TRUNC(SUM(D91:D92),2)</f>
        <v>0</v>
      </c>
    </row>
    <row r="95" spans="1:5">
      <c r="A95" s="140" t="s">
        <v>148</v>
      </c>
      <c r="B95" s="140"/>
      <c r="C95" s="140"/>
      <c r="D95" s="140"/>
    </row>
    <row r="96" spans="1:5">
      <c r="A96" s="24" t="s">
        <v>149</v>
      </c>
      <c r="B96" t="s">
        <v>150</v>
      </c>
      <c r="C96" s="24" t="s">
        <v>4</v>
      </c>
      <c r="D96" s="24" t="s">
        <v>5</v>
      </c>
    </row>
    <row r="97" spans="1:7">
      <c r="A97" s="24" t="s">
        <v>28</v>
      </c>
      <c r="B97" t="s">
        <v>151</v>
      </c>
      <c r="D97" s="71"/>
    </row>
    <row r="98" spans="1:7">
      <c r="A98" s="24" t="s">
        <v>31</v>
      </c>
      <c r="B98" t="s">
        <v>152</v>
      </c>
      <c r="D98" s="71"/>
    </row>
    <row r="99" spans="1:7">
      <c r="A99" s="24" t="s">
        <v>34</v>
      </c>
      <c r="B99" t="s">
        <v>153</v>
      </c>
      <c r="D99" s="71"/>
    </row>
    <row r="100" spans="1:7">
      <c r="A100" s="24" t="s">
        <v>36</v>
      </c>
      <c r="B100" t="s">
        <v>154</v>
      </c>
      <c r="D100" s="71"/>
    </row>
    <row r="101" spans="1:7">
      <c r="A101" s="24" t="s">
        <v>44</v>
      </c>
      <c r="D101" s="84"/>
    </row>
    <row r="102" spans="1:7">
      <c r="A102" s="24"/>
      <c r="D102" s="84"/>
    </row>
    <row r="103" spans="1:7">
      <c r="A103" s="147" t="s">
        <v>185</v>
      </c>
      <c r="B103" s="147"/>
      <c r="C103" s="105" t="s">
        <v>177</v>
      </c>
      <c r="D103" s="106">
        <f>D17</f>
        <v>0</v>
      </c>
    </row>
    <row r="104" spans="1:7">
      <c r="A104" s="147"/>
      <c r="B104" s="147"/>
      <c r="C104" s="108" t="s">
        <v>182</v>
      </c>
      <c r="D104" s="106">
        <f>D56</f>
        <v>0</v>
      </c>
    </row>
    <row r="105" spans="1:7">
      <c r="A105" s="147"/>
      <c r="B105" s="147"/>
      <c r="C105" s="105" t="s">
        <v>183</v>
      </c>
      <c r="D105" s="106">
        <f>D66</f>
        <v>0</v>
      </c>
    </row>
    <row r="106" spans="1:7">
      <c r="A106" s="147"/>
      <c r="B106" s="147"/>
      <c r="C106" s="108" t="s">
        <v>186</v>
      </c>
      <c r="D106" s="106">
        <f>D93</f>
        <v>0</v>
      </c>
    </row>
    <row r="107" spans="1:7">
      <c r="A107" s="147"/>
      <c r="B107" s="147"/>
      <c r="C107" s="105" t="s">
        <v>187</v>
      </c>
      <c r="D107" s="106">
        <f>D101</f>
        <v>0</v>
      </c>
    </row>
    <row r="108" spans="1:7">
      <c r="A108" s="147"/>
      <c r="B108" s="147"/>
      <c r="C108" s="108" t="s">
        <v>179</v>
      </c>
      <c r="D108" s="109">
        <f>TRUNC((SUM(D103:D107)),2)</f>
        <v>0</v>
      </c>
    </row>
    <row r="109" spans="1:7">
      <c r="A109" s="24"/>
      <c r="D109" s="84"/>
    </row>
    <row r="110" spans="1:7">
      <c r="A110" s="140" t="s">
        <v>160</v>
      </c>
      <c r="B110" s="140"/>
      <c r="C110" s="140"/>
      <c r="D110" s="140"/>
      <c r="F110" s="146" t="s">
        <v>188</v>
      </c>
      <c r="G110" s="146"/>
    </row>
    <row r="111" spans="1:7">
      <c r="A111" s="24" t="s">
        <v>161</v>
      </c>
      <c r="B111" t="s">
        <v>162</v>
      </c>
      <c r="C111" s="24" t="s">
        <v>24</v>
      </c>
      <c r="D111" s="24" t="s">
        <v>5</v>
      </c>
      <c r="F111" s="119" t="s">
        <v>189</v>
      </c>
      <c r="G111" s="120"/>
    </row>
    <row r="112" spans="1:7">
      <c r="A112" s="24" t="s">
        <v>28</v>
      </c>
      <c r="B112" t="s">
        <v>163</v>
      </c>
      <c r="C112" s="112">
        <v>0.08</v>
      </c>
      <c r="D112" s="113">
        <f>TRUNC(($D$108*C112),2)</f>
        <v>0</v>
      </c>
      <c r="F112" s="121" t="s">
        <v>190</v>
      </c>
      <c r="G112" s="122"/>
    </row>
    <row r="113" spans="1:7">
      <c r="A113" s="24" t="s">
        <v>31</v>
      </c>
      <c r="B113" t="s">
        <v>45</v>
      </c>
      <c r="C113" s="112">
        <v>0.06</v>
      </c>
      <c r="D113" s="113">
        <f>TRUNC((D108+D112)*C113,2)</f>
        <v>0</v>
      </c>
      <c r="F113" s="119" t="s">
        <v>191</v>
      </c>
      <c r="G113" s="123"/>
    </row>
    <row r="114" spans="1:7">
      <c r="A114" s="24" t="s">
        <v>34</v>
      </c>
      <c r="B114" t="s">
        <v>164</v>
      </c>
      <c r="C114" s="112"/>
      <c r="D114" s="113">
        <f>SUM(D115:D117)</f>
        <v>0</v>
      </c>
      <c r="F114" s="121" t="s">
        <v>188</v>
      </c>
      <c r="G114" s="122"/>
    </row>
    <row r="115" spans="1:7">
      <c r="A115" s="24" t="s">
        <v>165</v>
      </c>
      <c r="B115" t="s">
        <v>46</v>
      </c>
      <c r="C115" s="112"/>
      <c r="D115" s="113">
        <f>TRUNC($G$114*C115,2)</f>
        <v>0</v>
      </c>
    </row>
    <row r="116" spans="1:7">
      <c r="A116" s="24" t="s">
        <v>166</v>
      </c>
      <c r="B116" t="s">
        <v>48</v>
      </c>
      <c r="C116" s="112"/>
      <c r="D116" s="113">
        <f>TRUNC($G$114*C116,2)</f>
        <v>0</v>
      </c>
    </row>
    <row r="117" spans="1:7">
      <c r="A117" s="24" t="s">
        <v>167</v>
      </c>
      <c r="B117" t="s">
        <v>50</v>
      </c>
      <c r="C117" s="112"/>
      <c r="D117" s="113">
        <f>TRUNC($G$114*C117,2)</f>
        <v>0</v>
      </c>
    </row>
    <row r="118" spans="1:7">
      <c r="A118" s="24" t="s">
        <v>44</v>
      </c>
      <c r="C118" s="124"/>
      <c r="D118" s="84">
        <f>TRUNC(SUM(D112:D114),2)</f>
        <v>0</v>
      </c>
    </row>
    <row r="119" spans="1:7">
      <c r="A119" s="24"/>
      <c r="C119" s="124"/>
      <c r="D119" s="84"/>
    </row>
    <row r="120" spans="1:7">
      <c r="A120" s="140" t="s">
        <v>168</v>
      </c>
      <c r="B120" s="140"/>
      <c r="C120" s="140"/>
      <c r="D120" s="140"/>
    </row>
    <row r="121" spans="1:7">
      <c r="A121" s="24" t="s">
        <v>2</v>
      </c>
      <c r="B121" s="24" t="s">
        <v>169</v>
      </c>
      <c r="C121" s="24" t="s">
        <v>95</v>
      </c>
      <c r="D121" s="24" t="s">
        <v>5</v>
      </c>
    </row>
    <row r="122" spans="1:7">
      <c r="A122" s="24" t="s">
        <v>28</v>
      </c>
      <c r="B122" t="s">
        <v>22</v>
      </c>
      <c r="D122" s="84">
        <f>D17</f>
        <v>0</v>
      </c>
    </row>
    <row r="123" spans="1:7">
      <c r="A123" s="24" t="s">
        <v>31</v>
      </c>
      <c r="B123" t="s">
        <v>47</v>
      </c>
      <c r="D123" s="84">
        <f>D56</f>
        <v>0</v>
      </c>
    </row>
    <row r="124" spans="1:7">
      <c r="A124" s="24" t="s">
        <v>34</v>
      </c>
      <c r="B124" t="s">
        <v>101</v>
      </c>
      <c r="D124" s="84">
        <f>D66</f>
        <v>0</v>
      </c>
    </row>
    <row r="125" spans="1:7">
      <c r="A125" s="24" t="s">
        <v>36</v>
      </c>
      <c r="B125" t="s">
        <v>170</v>
      </c>
      <c r="D125" s="84">
        <f>D93</f>
        <v>0</v>
      </c>
    </row>
    <row r="126" spans="1:7">
      <c r="A126" s="24" t="s">
        <v>39</v>
      </c>
      <c r="B126" t="s">
        <v>148</v>
      </c>
      <c r="D126" s="84">
        <f>D101</f>
        <v>0</v>
      </c>
    </row>
    <row r="127" spans="1:7">
      <c r="A127" t="s">
        <v>171</v>
      </c>
      <c r="D127" s="84">
        <f>TRUNC(SUM(D122:D126),2)</f>
        <v>0</v>
      </c>
    </row>
    <row r="128" spans="1:7">
      <c r="A128" s="24" t="s">
        <v>41</v>
      </c>
      <c r="B128" t="s">
        <v>160</v>
      </c>
      <c r="D128" s="84">
        <f>D118</f>
        <v>0</v>
      </c>
    </row>
    <row r="129" spans="1:4">
      <c r="A129" s="125" t="s">
        <v>172</v>
      </c>
      <c r="B129" s="48"/>
      <c r="C129" s="48"/>
      <c r="D129" s="126">
        <f>TRUNC((SUM(D122:D126)+D128),2)</f>
        <v>0</v>
      </c>
    </row>
  </sheetData>
  <mergeCells count="20">
    <mergeCell ref="A1:D1"/>
    <mergeCell ref="F1:G1"/>
    <mergeCell ref="A9:D9"/>
    <mergeCell ref="A19:D19"/>
    <mergeCell ref="A20:D20"/>
    <mergeCell ref="F110:G110"/>
    <mergeCell ref="A120:D120"/>
    <mergeCell ref="A26:B28"/>
    <mergeCell ref="A68:B71"/>
    <mergeCell ref="A103:B108"/>
    <mergeCell ref="A74:D74"/>
    <mergeCell ref="A84:D84"/>
    <mergeCell ref="A89:D89"/>
    <mergeCell ref="A95:D95"/>
    <mergeCell ref="A110:D110"/>
    <mergeCell ref="A30:D30"/>
    <mergeCell ref="A42:D42"/>
    <mergeCell ref="A51:D51"/>
    <mergeCell ref="A58:D58"/>
    <mergeCell ref="A73:D73"/>
  </mergeCells>
  <pageMargins left="0.75" right="0.75" top="1" bottom="1" header="0.5" footer="0.5"/>
  <legacyDrawing r:id="rId1"/>
  <tableParts count="14">
    <tablePart r:id="rId2"/>
    <tablePart r:id="rId3"/>
    <tablePart r:id="rId4"/>
    <tablePart r:id="rId5"/>
    <tablePart r:id="rId6"/>
    <tablePart r:id="rId7"/>
    <tablePart r:id="rId8"/>
    <tablePart r:id="rId9"/>
    <tablePart r:id="rId10"/>
    <tablePart r:id="rId11"/>
    <tablePart r:id="rId12"/>
    <tablePart r:id="rId13"/>
    <tablePart r:id="rId14"/>
    <tablePart r:id="rId15"/>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150"/>
  <sheetViews>
    <sheetView showGridLines="0" topLeftCell="D125" zoomScale="85" zoomScaleNormal="85" workbookViewId="0">
      <selection activeCell="D118" sqref="D118"/>
    </sheetView>
  </sheetViews>
  <sheetFormatPr defaultColWidth="9" defaultRowHeight="15" outlineLevelRow="1"/>
  <cols>
    <col min="1" max="1" width="12.42578125" customWidth="1"/>
    <col min="2" max="2" width="76.42578125" customWidth="1"/>
    <col min="3" max="3" width="28.42578125" customWidth="1"/>
    <col min="4" max="4" width="27.42578125" customWidth="1"/>
    <col min="6" max="6" width="32.7109375" customWidth="1"/>
    <col min="7" max="7" width="13" customWidth="1"/>
  </cols>
  <sheetData>
    <row r="1" spans="1:21">
      <c r="A1" s="145" t="s">
        <v>0</v>
      </c>
      <c r="B1" s="145"/>
      <c r="C1" s="145"/>
      <c r="D1" s="145"/>
      <c r="F1" s="144" t="s">
        <v>1</v>
      </c>
      <c r="G1" s="144"/>
      <c r="H1" s="107"/>
      <c r="I1" s="107"/>
      <c r="J1" s="107"/>
      <c r="K1" s="107"/>
      <c r="L1" s="107"/>
      <c r="M1" s="107"/>
      <c r="N1" s="107"/>
      <c r="O1" s="107"/>
      <c r="P1" s="107"/>
      <c r="Q1" s="107"/>
      <c r="R1" s="107"/>
      <c r="S1" s="107"/>
      <c r="T1" s="107"/>
      <c r="U1" s="107"/>
    </row>
    <row r="2" spans="1:21">
      <c r="A2" s="24" t="s">
        <v>2</v>
      </c>
      <c r="B2" t="s">
        <v>3</v>
      </c>
      <c r="C2" s="24" t="s">
        <v>4</v>
      </c>
      <c r="D2" s="24" t="s">
        <v>5</v>
      </c>
      <c r="F2" t="s">
        <v>3</v>
      </c>
      <c r="G2" t="s">
        <v>5</v>
      </c>
      <c r="H2" s="107"/>
      <c r="I2" s="107"/>
      <c r="J2" s="107"/>
      <c r="K2" s="107"/>
      <c r="L2" s="107"/>
      <c r="M2" s="107"/>
      <c r="N2" s="107"/>
      <c r="O2" s="107"/>
      <c r="P2" s="107"/>
      <c r="Q2" s="107"/>
      <c r="R2" s="107"/>
      <c r="S2" s="107"/>
      <c r="T2" s="107"/>
      <c r="U2" s="107"/>
    </row>
    <row r="3" spans="1:21">
      <c r="A3" s="24">
        <v>1</v>
      </c>
      <c r="B3" t="s">
        <v>6</v>
      </c>
      <c r="C3" s="24"/>
      <c r="D3" s="24" t="s">
        <v>7</v>
      </c>
      <c r="F3" t="s">
        <v>8</v>
      </c>
      <c r="G3" s="127">
        <v>3.8</v>
      </c>
      <c r="H3" s="107"/>
      <c r="I3" s="107"/>
      <c r="J3" s="107"/>
      <c r="K3" s="107"/>
      <c r="L3" s="107"/>
      <c r="M3" s="107"/>
      <c r="N3" s="107"/>
      <c r="O3" s="107"/>
      <c r="P3" s="107"/>
      <c r="Q3" s="107"/>
      <c r="R3" s="107"/>
      <c r="S3" s="107"/>
      <c r="T3" s="107"/>
      <c r="U3" s="107"/>
    </row>
    <row r="4" spans="1:21">
      <c r="A4" s="24">
        <v>2</v>
      </c>
      <c r="B4" t="s">
        <v>9</v>
      </c>
      <c r="C4" s="24"/>
      <c r="D4" s="24" t="s">
        <v>10</v>
      </c>
      <c r="F4" t="s">
        <v>11</v>
      </c>
      <c r="G4" s="127">
        <v>14</v>
      </c>
      <c r="H4" s="107"/>
      <c r="I4" s="107"/>
      <c r="J4" s="107"/>
      <c r="K4" s="107"/>
      <c r="L4" s="107"/>
      <c r="M4" s="107"/>
      <c r="N4" s="107"/>
      <c r="O4" s="107"/>
      <c r="P4" s="107"/>
      <c r="Q4" s="107"/>
      <c r="R4" s="107"/>
      <c r="S4" s="107"/>
      <c r="T4" s="107"/>
      <c r="U4" s="107"/>
    </row>
    <row r="5" spans="1:21">
      <c r="A5" s="24">
        <v>3</v>
      </c>
      <c r="B5" t="s">
        <v>12</v>
      </c>
      <c r="C5" s="24" t="s">
        <v>13</v>
      </c>
      <c r="D5" s="128">
        <v>1206.74</v>
      </c>
      <c r="F5" t="s">
        <v>14</v>
      </c>
      <c r="G5" s="94">
        <v>22</v>
      </c>
      <c r="H5" s="107"/>
      <c r="I5" s="107"/>
      <c r="J5" s="107"/>
      <c r="K5" s="107"/>
      <c r="L5" s="107"/>
      <c r="M5" s="107"/>
      <c r="N5" s="107"/>
      <c r="O5" s="107"/>
      <c r="P5" s="107"/>
      <c r="Q5" s="107"/>
      <c r="R5" s="107"/>
      <c r="S5" s="107"/>
      <c r="T5" s="107"/>
      <c r="U5" s="107"/>
    </row>
    <row r="6" spans="1:21">
      <c r="A6" s="24">
        <v>4</v>
      </c>
      <c r="B6" t="s">
        <v>15</v>
      </c>
      <c r="C6" s="24" t="s">
        <v>16</v>
      </c>
      <c r="D6" s="24" t="s">
        <v>175</v>
      </c>
      <c r="F6" t="s">
        <v>18</v>
      </c>
      <c r="G6" s="129">
        <v>0.03</v>
      </c>
      <c r="H6" s="107"/>
      <c r="I6" s="107"/>
      <c r="J6" s="107"/>
      <c r="K6" s="107"/>
      <c r="L6" s="107"/>
      <c r="M6" s="107"/>
      <c r="N6" s="107"/>
      <c r="O6" s="107"/>
      <c r="P6" s="107"/>
      <c r="Q6" s="107"/>
      <c r="R6" s="107"/>
      <c r="S6" s="107"/>
      <c r="T6" s="107"/>
      <c r="U6" s="107"/>
    </row>
    <row r="7" spans="1:21">
      <c r="A7" s="24">
        <v>5</v>
      </c>
      <c r="B7" t="s">
        <v>19</v>
      </c>
      <c r="C7" s="24"/>
      <c r="D7" s="24" t="s">
        <v>20</v>
      </c>
      <c r="H7" s="107"/>
      <c r="I7" s="107"/>
      <c r="J7" s="107"/>
      <c r="K7" s="107"/>
      <c r="L7" s="107"/>
      <c r="M7" s="107"/>
      <c r="N7" s="107"/>
      <c r="O7" s="107"/>
      <c r="P7" s="107"/>
      <c r="Q7" s="107"/>
      <c r="R7" s="107"/>
      <c r="S7" s="107"/>
      <c r="T7" s="107"/>
      <c r="U7" s="107"/>
    </row>
    <row r="8" spans="1:21">
      <c r="F8" s="144" t="s">
        <v>21</v>
      </c>
      <c r="G8" s="144"/>
      <c r="H8" s="107"/>
      <c r="I8" s="107"/>
      <c r="J8" s="107"/>
      <c r="K8" s="107"/>
      <c r="L8" s="107"/>
      <c r="M8" s="107"/>
      <c r="N8" s="107"/>
      <c r="O8" s="107"/>
      <c r="P8" s="107"/>
      <c r="Q8" s="107"/>
      <c r="R8" s="107"/>
      <c r="S8" s="107"/>
      <c r="T8" s="107"/>
      <c r="U8" s="107"/>
    </row>
    <row r="9" spans="1:21">
      <c r="A9" s="140" t="s">
        <v>22</v>
      </c>
      <c r="B9" s="140"/>
      <c r="C9" s="140"/>
      <c r="D9" s="140"/>
      <c r="F9" t="s">
        <v>23</v>
      </c>
      <c r="G9" t="s">
        <v>24</v>
      </c>
      <c r="H9" s="107"/>
      <c r="I9" s="107"/>
      <c r="J9" s="107"/>
      <c r="K9" s="107"/>
      <c r="L9" s="107"/>
      <c r="M9" s="107"/>
      <c r="N9" s="107"/>
      <c r="O9" s="107"/>
      <c r="P9" s="107"/>
      <c r="Q9" s="107"/>
      <c r="R9" s="107"/>
      <c r="S9" s="107"/>
      <c r="T9" s="107"/>
      <c r="U9" s="107"/>
    </row>
    <row r="10" spans="1:21">
      <c r="A10" s="24" t="s">
        <v>25</v>
      </c>
      <c r="B10" t="s">
        <v>26</v>
      </c>
      <c r="C10" s="24" t="s">
        <v>4</v>
      </c>
      <c r="D10" s="24" t="s">
        <v>5</v>
      </c>
      <c r="F10" t="s">
        <v>27</v>
      </c>
      <c r="G10" s="130">
        <v>0.43369999999999997</v>
      </c>
      <c r="H10" s="107"/>
      <c r="I10" s="107"/>
      <c r="J10" s="107"/>
      <c r="K10" s="107"/>
      <c r="L10" s="107"/>
      <c r="M10" s="107"/>
      <c r="N10" s="107"/>
      <c r="O10" s="107"/>
      <c r="P10" s="107"/>
      <c r="Q10" s="107"/>
      <c r="R10" s="107"/>
      <c r="S10" s="107"/>
      <c r="T10" s="107"/>
      <c r="U10" s="107"/>
    </row>
    <row r="11" spans="1:21">
      <c r="A11" s="24" t="s">
        <v>28</v>
      </c>
      <c r="B11" t="s">
        <v>29</v>
      </c>
      <c r="C11" s="24"/>
      <c r="D11" s="84">
        <f>Salário_Normativo_da_Categoria_Profissional</f>
        <v>1206.74</v>
      </c>
      <c r="F11" t="s">
        <v>30</v>
      </c>
      <c r="G11" s="130">
        <v>0.43369999999999997</v>
      </c>
      <c r="H11" s="107"/>
      <c r="I11" s="107"/>
      <c r="J11" s="107"/>
      <c r="K11" s="107"/>
      <c r="L11" s="107"/>
      <c r="M11" s="107"/>
      <c r="N11" s="107"/>
      <c r="O11" s="107"/>
      <c r="P11" s="107"/>
      <c r="Q11" s="107"/>
      <c r="R11" s="107"/>
      <c r="S11" s="107"/>
      <c r="T11" s="107"/>
      <c r="U11" s="107"/>
    </row>
    <row r="12" spans="1:21">
      <c r="A12" s="24" t="s">
        <v>31</v>
      </c>
      <c r="B12" t="s">
        <v>32</v>
      </c>
      <c r="C12" s="24"/>
      <c r="D12" s="84"/>
      <c r="F12" t="s">
        <v>33</v>
      </c>
      <c r="G12" s="130">
        <v>2.18E-2</v>
      </c>
      <c r="H12" s="107"/>
      <c r="I12" s="107"/>
      <c r="J12" s="107"/>
      <c r="K12" s="107"/>
      <c r="L12" s="107"/>
      <c r="M12" s="107"/>
      <c r="N12" s="107"/>
      <c r="O12" s="107"/>
      <c r="P12" s="107"/>
      <c r="Q12" s="107"/>
      <c r="R12" s="107"/>
      <c r="S12" s="107"/>
      <c r="T12" s="107"/>
      <c r="U12" s="107"/>
    </row>
    <row r="13" spans="1:21">
      <c r="A13" s="24" t="s">
        <v>34</v>
      </c>
      <c r="B13" t="s">
        <v>35</v>
      </c>
      <c r="C13" s="24"/>
      <c r="D13" s="84"/>
      <c r="H13" s="107"/>
      <c r="I13" s="107"/>
      <c r="J13" s="107"/>
      <c r="K13" s="107"/>
      <c r="L13" s="107"/>
      <c r="M13" s="107"/>
      <c r="N13" s="107"/>
      <c r="O13" s="107"/>
      <c r="P13" s="107"/>
      <c r="Q13" s="107"/>
      <c r="R13" s="107"/>
      <c r="S13" s="107"/>
      <c r="T13" s="107"/>
      <c r="U13" s="107"/>
    </row>
    <row r="14" spans="1:21">
      <c r="A14" s="24" t="s">
        <v>36</v>
      </c>
      <c r="B14" t="s">
        <v>37</v>
      </c>
      <c r="C14" s="24"/>
      <c r="D14" s="84"/>
      <c r="F14" s="144" t="s">
        <v>38</v>
      </c>
      <c r="G14" s="144"/>
      <c r="H14" s="107"/>
      <c r="I14" s="107"/>
      <c r="J14" s="107"/>
      <c r="K14" s="107"/>
      <c r="L14" s="107"/>
      <c r="M14" s="107"/>
      <c r="N14" s="107"/>
      <c r="O14" s="107"/>
      <c r="P14" s="107"/>
      <c r="Q14" s="107"/>
      <c r="R14" s="107"/>
      <c r="S14" s="107"/>
      <c r="T14" s="107"/>
      <c r="U14" s="107"/>
    </row>
    <row r="15" spans="1:21">
      <c r="A15" s="24" t="s">
        <v>39</v>
      </c>
      <c r="B15" t="s">
        <v>40</v>
      </c>
      <c r="C15" s="24"/>
      <c r="D15" s="84"/>
      <c r="F15" s="107" t="s">
        <v>3</v>
      </c>
      <c r="G15" s="107" t="s">
        <v>24</v>
      </c>
      <c r="H15" s="107"/>
      <c r="I15" s="107"/>
      <c r="J15" s="107"/>
      <c r="K15" s="107"/>
      <c r="L15" s="107"/>
      <c r="M15" s="107"/>
      <c r="N15" s="107"/>
      <c r="O15" s="107"/>
      <c r="P15" s="107"/>
      <c r="Q15" s="107"/>
      <c r="R15" s="107"/>
      <c r="S15" s="107"/>
      <c r="T15" s="107"/>
      <c r="U15" s="107"/>
    </row>
    <row r="16" spans="1:21">
      <c r="A16" s="24" t="s">
        <v>41</v>
      </c>
      <c r="B16" t="s">
        <v>42</v>
      </c>
      <c r="C16" s="24"/>
      <c r="D16" s="84">
        <v>200</v>
      </c>
      <c r="F16" s="107" t="s">
        <v>43</v>
      </c>
      <c r="G16" s="131">
        <v>0.03</v>
      </c>
      <c r="H16" s="107"/>
      <c r="I16" s="107"/>
      <c r="J16" s="107"/>
      <c r="K16" s="107"/>
      <c r="L16" s="107"/>
      <c r="M16" s="107"/>
      <c r="N16" s="107"/>
      <c r="O16" s="107"/>
      <c r="P16" s="107"/>
      <c r="Q16" s="107"/>
      <c r="R16" s="107"/>
      <c r="S16" s="107"/>
      <c r="T16" s="107"/>
      <c r="U16" s="107"/>
    </row>
    <row r="17" spans="1:21">
      <c r="A17" s="24" t="s">
        <v>44</v>
      </c>
      <c r="C17" s="24"/>
      <c r="D17" s="84">
        <f>SUBTOTAL(109,Módulo1379[Valor])</f>
        <v>1406.74</v>
      </c>
      <c r="F17" s="107" t="s">
        <v>45</v>
      </c>
      <c r="G17" s="131">
        <v>6.7900000000000002E-2</v>
      </c>
      <c r="H17" s="107"/>
      <c r="I17" s="107"/>
      <c r="J17" s="107"/>
      <c r="K17" s="107"/>
      <c r="L17" s="107"/>
      <c r="M17" s="107"/>
      <c r="N17" s="107"/>
      <c r="O17" s="107"/>
      <c r="P17" s="107"/>
      <c r="Q17" s="107"/>
      <c r="R17" s="107"/>
      <c r="S17" s="107"/>
      <c r="T17" s="107"/>
      <c r="U17" s="107"/>
    </row>
    <row r="18" spans="1:21">
      <c r="F18" s="107" t="s">
        <v>46</v>
      </c>
      <c r="G18" s="132">
        <v>1.6500000000000001E-2</v>
      </c>
      <c r="H18" s="107"/>
      <c r="I18" s="107"/>
      <c r="J18" s="107"/>
      <c r="K18" s="107"/>
      <c r="L18" s="107"/>
      <c r="M18" s="107"/>
      <c r="N18" s="107"/>
      <c r="O18" s="107"/>
      <c r="P18" s="107"/>
      <c r="Q18" s="107"/>
      <c r="R18" s="107"/>
      <c r="S18" s="107"/>
      <c r="T18" s="107"/>
      <c r="U18" s="107"/>
    </row>
    <row r="19" spans="1:21">
      <c r="A19" s="143" t="s">
        <v>47</v>
      </c>
      <c r="B19" s="143"/>
      <c r="C19" s="143"/>
      <c r="D19" s="143"/>
      <c r="F19" s="107" t="s">
        <v>48</v>
      </c>
      <c r="G19" s="132">
        <v>7.5999999999999998E-2</v>
      </c>
      <c r="H19" s="107"/>
      <c r="I19" s="107"/>
      <c r="J19" s="107"/>
      <c r="K19" s="107"/>
      <c r="L19" s="107"/>
      <c r="M19" s="107"/>
      <c r="N19" s="107"/>
      <c r="O19" s="107"/>
      <c r="P19" s="107"/>
      <c r="Q19" s="107"/>
      <c r="R19" s="107"/>
      <c r="S19" s="107"/>
      <c r="T19" s="107"/>
      <c r="U19" s="107"/>
    </row>
    <row r="20" spans="1:21">
      <c r="A20" s="144" t="s">
        <v>49</v>
      </c>
      <c r="B20" s="144"/>
      <c r="C20" s="144"/>
      <c r="D20" s="144"/>
      <c r="F20" s="107" t="s">
        <v>50</v>
      </c>
      <c r="G20" s="132">
        <v>0.05</v>
      </c>
      <c r="H20" s="107"/>
      <c r="I20" s="107"/>
      <c r="J20" s="107"/>
      <c r="K20" s="107"/>
      <c r="L20" s="107"/>
      <c r="M20" s="107"/>
      <c r="N20" s="107"/>
      <c r="O20" s="107"/>
      <c r="P20" s="107"/>
      <c r="Q20" s="107"/>
      <c r="R20" s="107"/>
      <c r="S20" s="107"/>
      <c r="T20" s="107"/>
      <c r="U20" s="107"/>
    </row>
    <row r="21" spans="1:21">
      <c r="A21" s="24" t="s">
        <v>51</v>
      </c>
      <c r="B21" t="s">
        <v>52</v>
      </c>
      <c r="C21" s="24" t="s">
        <v>4</v>
      </c>
      <c r="D21" s="24" t="s">
        <v>5</v>
      </c>
      <c r="F21" s="107"/>
      <c r="G21" s="107"/>
      <c r="H21" s="107"/>
      <c r="I21" s="107"/>
      <c r="J21" s="107"/>
      <c r="K21" s="107"/>
      <c r="L21" s="107"/>
      <c r="M21" s="107"/>
      <c r="N21" s="107"/>
      <c r="O21" s="107"/>
      <c r="P21" s="107"/>
      <c r="Q21" s="107"/>
      <c r="R21" s="107"/>
      <c r="S21" s="107"/>
      <c r="T21" s="107"/>
      <c r="U21" s="107"/>
    </row>
    <row r="22" spans="1:21">
      <c r="A22" s="24" t="s">
        <v>28</v>
      </c>
      <c r="B22" t="s">
        <v>53</v>
      </c>
      <c r="D22" s="84">
        <f>Módulo1379[[#Totals],[Valor]]/12</f>
        <v>117.22833333333334</v>
      </c>
      <c r="F22" s="144" t="s">
        <v>54</v>
      </c>
      <c r="G22" s="144"/>
      <c r="H22" s="107"/>
      <c r="I22" s="107"/>
      <c r="J22" s="107"/>
      <c r="K22" s="107"/>
      <c r="L22" s="107"/>
      <c r="M22" s="107"/>
      <c r="N22" s="107"/>
      <c r="O22" s="107"/>
      <c r="P22" s="107"/>
      <c r="Q22" s="107"/>
      <c r="R22" s="107"/>
      <c r="S22" s="107"/>
      <c r="T22" s="107"/>
      <c r="U22" s="107"/>
    </row>
    <row r="23" spans="1:21">
      <c r="A23" s="24" t="s">
        <v>31</v>
      </c>
      <c r="B23" t="s">
        <v>55</v>
      </c>
      <c r="D23" s="84">
        <f>(Módulo1379[[#Totals],[Valor]]/12)*(1/3)</f>
        <v>39.076111111111111</v>
      </c>
      <c r="E23" s="104"/>
      <c r="F23" s="24" t="s">
        <v>3</v>
      </c>
      <c r="G23" s="24" t="s">
        <v>5</v>
      </c>
      <c r="H23" s="107"/>
      <c r="I23" s="107"/>
      <c r="J23" s="107"/>
      <c r="K23" s="107"/>
      <c r="L23" s="107"/>
      <c r="M23" s="107"/>
      <c r="N23" s="107"/>
      <c r="O23" s="107"/>
      <c r="P23" s="107"/>
      <c r="Q23" s="107"/>
      <c r="R23" s="107"/>
      <c r="S23" s="107"/>
      <c r="T23" s="107"/>
      <c r="U23" s="107"/>
    </row>
    <row r="24" spans="1:21">
      <c r="A24" s="24" t="s">
        <v>44</v>
      </c>
      <c r="D24" s="84">
        <f>SUBTOTAL(109,Submódulo2.1480[Valor])</f>
        <v>156.30444444444444</v>
      </c>
      <c r="F24" s="107" t="s">
        <v>56</v>
      </c>
      <c r="G24" s="133">
        <f>((D17+D24+(D17/12))*(100%+C41))/30</f>
        <v>76.620438666666658</v>
      </c>
      <c r="H24" s="107"/>
      <c r="I24" s="107"/>
      <c r="J24" s="107"/>
      <c r="K24" s="107"/>
      <c r="L24" s="107"/>
      <c r="M24" s="107"/>
      <c r="N24" s="107"/>
      <c r="O24" s="107"/>
      <c r="P24" s="107"/>
      <c r="Q24" s="107"/>
      <c r="R24" s="107"/>
      <c r="S24" s="107"/>
      <c r="T24" s="107"/>
      <c r="U24" s="107"/>
    </row>
    <row r="25" spans="1:21">
      <c r="A25" s="24"/>
      <c r="D25" s="84"/>
      <c r="F25" s="107" t="s">
        <v>57</v>
      </c>
      <c r="G25" s="133">
        <f>((D17*(1+(1/3))*(100%+C41))/12)/30</f>
        <v>7.1274826666666664</v>
      </c>
      <c r="H25" s="107"/>
      <c r="I25" s="107"/>
      <c r="J25" s="107"/>
      <c r="K25" s="107"/>
      <c r="L25" s="107"/>
      <c r="M25" s="107"/>
      <c r="N25" s="107"/>
      <c r="O25" s="107"/>
      <c r="P25" s="107"/>
      <c r="Q25" s="107"/>
      <c r="R25" s="107"/>
      <c r="S25" s="107"/>
      <c r="T25" s="107"/>
      <c r="U25" s="107"/>
    </row>
    <row r="26" spans="1:21">
      <c r="A26" s="141" t="s">
        <v>58</v>
      </c>
      <c r="B26" s="141"/>
      <c r="C26" s="141"/>
      <c r="D26" s="141"/>
      <c r="F26" s="107"/>
      <c r="G26" s="107"/>
      <c r="H26" s="107"/>
      <c r="I26" s="107"/>
      <c r="J26" s="107"/>
      <c r="K26" s="107"/>
      <c r="L26" s="107"/>
      <c r="M26" s="107"/>
      <c r="N26" s="107"/>
      <c r="O26" s="107"/>
      <c r="P26" s="107"/>
      <c r="Q26" s="107"/>
      <c r="R26" s="107"/>
      <c r="S26" s="107"/>
      <c r="T26" s="107"/>
      <c r="U26" s="107"/>
    </row>
    <row r="27" spans="1:21">
      <c r="A27" s="134" t="s">
        <v>2</v>
      </c>
      <c r="B27" s="134" t="s">
        <v>59</v>
      </c>
      <c r="C27" s="134" t="s">
        <v>60</v>
      </c>
      <c r="D27" s="135" t="s">
        <v>61</v>
      </c>
      <c r="F27" s="107"/>
      <c r="G27" s="107"/>
      <c r="H27" s="107"/>
      <c r="I27" s="107"/>
      <c r="J27" s="107"/>
      <c r="K27" s="107"/>
      <c r="L27" s="107"/>
      <c r="M27" s="107"/>
      <c r="N27" s="107"/>
      <c r="O27" s="107"/>
      <c r="P27" s="107"/>
      <c r="Q27" s="107"/>
      <c r="R27" s="107"/>
      <c r="S27" s="107"/>
      <c r="T27" s="107"/>
      <c r="U27" s="107"/>
    </row>
    <row r="28" spans="1:21" ht="30">
      <c r="A28" s="67" t="s">
        <v>28</v>
      </c>
      <c r="B28" s="136" t="s">
        <v>62</v>
      </c>
      <c r="C28" s="38" t="s">
        <v>63</v>
      </c>
      <c r="D28" s="136" t="s">
        <v>64</v>
      </c>
      <c r="F28" s="107"/>
      <c r="G28" s="107"/>
      <c r="H28" s="107"/>
      <c r="I28" s="107"/>
      <c r="J28" s="107"/>
      <c r="K28" s="107"/>
      <c r="L28" s="107"/>
      <c r="M28" s="107"/>
      <c r="N28" s="107"/>
      <c r="O28" s="107"/>
      <c r="P28" s="107"/>
      <c r="Q28" s="107"/>
      <c r="R28" s="107"/>
      <c r="S28" s="107"/>
      <c r="T28" s="107"/>
      <c r="U28" s="107"/>
    </row>
    <row r="29" spans="1:21">
      <c r="A29" s="67" t="s">
        <v>31</v>
      </c>
      <c r="B29" s="137" t="s">
        <v>55</v>
      </c>
      <c r="C29" s="38" t="s">
        <v>63</v>
      </c>
      <c r="D29" s="136" t="s">
        <v>65</v>
      </c>
      <c r="F29" s="107"/>
      <c r="G29" s="107"/>
      <c r="H29" s="107"/>
      <c r="I29" s="107"/>
      <c r="J29" s="107"/>
      <c r="K29" s="107"/>
      <c r="L29" s="107"/>
      <c r="M29" s="107"/>
      <c r="N29" s="107"/>
      <c r="O29" s="107"/>
      <c r="P29" s="107"/>
      <c r="Q29" s="107"/>
      <c r="R29" s="107"/>
      <c r="S29" s="107"/>
      <c r="T29" s="107"/>
      <c r="U29" s="107"/>
    </row>
    <row r="30" spans="1:21">
      <c r="A30" s="24"/>
      <c r="B30" s="24"/>
      <c r="C30" s="110"/>
      <c r="F30" s="107"/>
      <c r="G30" s="107"/>
      <c r="H30" s="107"/>
      <c r="I30" s="107"/>
      <c r="J30" s="107"/>
      <c r="K30" s="107"/>
      <c r="L30" s="107"/>
      <c r="M30" s="107"/>
      <c r="N30" s="107"/>
      <c r="O30" s="107"/>
      <c r="P30" s="107"/>
      <c r="Q30" s="107"/>
      <c r="R30" s="107"/>
      <c r="S30" s="107"/>
      <c r="T30" s="107"/>
      <c r="U30" s="107"/>
    </row>
    <row r="31" spans="1:21">
      <c r="A31" s="144" t="s">
        <v>66</v>
      </c>
      <c r="B31" s="144"/>
      <c r="C31" s="144"/>
      <c r="D31" s="144"/>
    </row>
    <row r="32" spans="1:21">
      <c r="A32" s="24" t="s">
        <v>67</v>
      </c>
      <c r="B32" t="s">
        <v>68</v>
      </c>
      <c r="C32" s="24" t="s">
        <v>24</v>
      </c>
      <c r="D32" s="24" t="s">
        <v>69</v>
      </c>
    </row>
    <row r="33" spans="1:4">
      <c r="A33" s="24" t="s">
        <v>28</v>
      </c>
      <c r="B33" t="s">
        <v>70</v>
      </c>
      <c r="C33" s="111">
        <v>0.2</v>
      </c>
      <c r="D33" s="84">
        <f>C33*(Módulo1379[[#Totals],[Valor]]+Submódulo2.1480[[#Totals],[Valor]])</f>
        <v>312.60888888888894</v>
      </c>
    </row>
    <row r="34" spans="1:4">
      <c r="A34" s="24" t="s">
        <v>31</v>
      </c>
      <c r="B34" t="s">
        <v>71</v>
      </c>
      <c r="C34" s="111">
        <v>2.5000000000000001E-2</v>
      </c>
      <c r="D34" s="84">
        <f>C34*(Módulo1379[[#Totals],[Valor]]+Submódulo2.1480[[#Totals],[Valor]])</f>
        <v>39.076111111111118</v>
      </c>
    </row>
    <row r="35" spans="1:4">
      <c r="A35" s="24" t="s">
        <v>34</v>
      </c>
      <c r="B35" t="s">
        <v>72</v>
      </c>
      <c r="C35" s="111">
        <f>Encarregado!G6</f>
        <v>0.03</v>
      </c>
      <c r="D35" s="84">
        <f>C35*(Módulo1379[[#Totals],[Valor]]+Submódulo2.1480[[#Totals],[Valor]])</f>
        <v>46.891333333333336</v>
      </c>
    </row>
    <row r="36" spans="1:4">
      <c r="A36" s="24" t="s">
        <v>36</v>
      </c>
      <c r="B36" t="s">
        <v>73</v>
      </c>
      <c r="C36" s="111">
        <v>1.4999999999999999E-2</v>
      </c>
      <c r="D36" s="84">
        <f>C36*(Módulo1379[[#Totals],[Valor]]+Submódulo2.1480[[#Totals],[Valor]])</f>
        <v>23.445666666666668</v>
      </c>
    </row>
    <row r="37" spans="1:4">
      <c r="A37" s="24" t="s">
        <v>39</v>
      </c>
      <c r="B37" t="s">
        <v>74</v>
      </c>
      <c r="C37" s="111">
        <v>0.01</v>
      </c>
      <c r="D37" s="84">
        <f>C37*(Módulo1379[[#Totals],[Valor]]+Submódulo2.1480[[#Totals],[Valor]])</f>
        <v>15.630444444444445</v>
      </c>
    </row>
    <row r="38" spans="1:4">
      <c r="A38" s="24" t="s">
        <v>41</v>
      </c>
      <c r="B38" t="s">
        <v>75</v>
      </c>
      <c r="C38" s="111">
        <v>6.0000000000000001E-3</v>
      </c>
      <c r="D38" s="84">
        <f>C38*(Módulo1379[[#Totals],[Valor]]+Submódulo2.1480[[#Totals],[Valor]])</f>
        <v>9.3782666666666668</v>
      </c>
    </row>
    <row r="39" spans="1:4">
      <c r="A39" s="24" t="s">
        <v>76</v>
      </c>
      <c r="B39" t="s">
        <v>77</v>
      </c>
      <c r="C39" s="111">
        <v>2E-3</v>
      </c>
      <c r="D39" s="84">
        <f>C39*(Módulo1379[[#Totals],[Valor]]+Submódulo2.1480[[#Totals],[Valor]])</f>
        <v>3.1260888888888889</v>
      </c>
    </row>
    <row r="40" spans="1:4">
      <c r="A40" s="24" t="s">
        <v>78</v>
      </c>
      <c r="B40" t="s">
        <v>79</v>
      </c>
      <c r="C40" s="111">
        <v>0.08</v>
      </c>
      <c r="D40" s="84">
        <f>C40*(Módulo1379[[#Totals],[Valor]]+Submódulo2.1480[[#Totals],[Valor]])</f>
        <v>125.04355555555556</v>
      </c>
    </row>
    <row r="41" spans="1:4">
      <c r="A41" s="24" t="s">
        <v>44</v>
      </c>
      <c r="C41" s="114">
        <f>SUBTOTAL(109,Submódulo2.2681[Percentual])</f>
        <v>0.36800000000000005</v>
      </c>
      <c r="D41" s="84">
        <f>SUBTOTAL(109,Submódulo2.2681[[Valor ]])</f>
        <v>575.20035555555569</v>
      </c>
    </row>
    <row r="42" spans="1:4">
      <c r="A42" s="24"/>
      <c r="C42" s="114"/>
      <c r="D42" s="84"/>
    </row>
    <row r="43" spans="1:4">
      <c r="A43" s="141" t="s">
        <v>80</v>
      </c>
      <c r="B43" s="141"/>
      <c r="C43" s="141"/>
      <c r="D43" s="141"/>
    </row>
    <row r="44" spans="1:4">
      <c r="A44" s="134" t="s">
        <v>2</v>
      </c>
      <c r="B44" s="134" t="s">
        <v>59</v>
      </c>
      <c r="C44" s="134" t="s">
        <v>60</v>
      </c>
      <c r="D44" s="135" t="s">
        <v>61</v>
      </c>
    </row>
    <row r="45" spans="1:4" ht="30">
      <c r="A45" s="67" t="s">
        <v>81</v>
      </c>
      <c r="B45" s="136" t="s">
        <v>68</v>
      </c>
      <c r="C45" s="136" t="s">
        <v>82</v>
      </c>
      <c r="D45" s="136" t="s">
        <v>83</v>
      </c>
    </row>
    <row r="47" spans="1:4">
      <c r="A47" s="144" t="s">
        <v>84</v>
      </c>
      <c r="B47" s="144"/>
      <c r="C47" s="144"/>
      <c r="D47" s="144"/>
    </row>
    <row r="48" spans="1:4">
      <c r="A48" s="24" t="s">
        <v>85</v>
      </c>
      <c r="B48" t="s">
        <v>86</v>
      </c>
      <c r="C48" s="24" t="s">
        <v>4</v>
      </c>
      <c r="D48" s="24" t="s">
        <v>5</v>
      </c>
    </row>
    <row r="49" spans="1:4">
      <c r="A49" s="24" t="s">
        <v>28</v>
      </c>
      <c r="B49" t="s">
        <v>87</v>
      </c>
      <c r="D49" s="84">
        <f>IF(G3=0,0,(Encarregado!G3*2*Encarregado!G5)-(6%*_1A))</f>
        <v>94.795599999999993</v>
      </c>
    </row>
    <row r="50" spans="1:4">
      <c r="A50" s="24" t="s">
        <v>31</v>
      </c>
      <c r="B50" t="s">
        <v>88</v>
      </c>
      <c r="D50" s="84">
        <f>(Encarregado!G4*Encarregado!G5)*80%</f>
        <v>246.4</v>
      </c>
    </row>
    <row r="51" spans="1:4">
      <c r="A51" s="24" t="s">
        <v>34</v>
      </c>
      <c r="B51" t="s">
        <v>89</v>
      </c>
      <c r="D51" s="84"/>
    </row>
    <row r="52" spans="1:4">
      <c r="A52" s="24" t="s">
        <v>36</v>
      </c>
      <c r="B52" t="s">
        <v>90</v>
      </c>
      <c r="C52" t="s">
        <v>91</v>
      </c>
      <c r="D52" s="84">
        <v>4</v>
      </c>
    </row>
    <row r="53" spans="1:4">
      <c r="A53" s="24" t="s">
        <v>39</v>
      </c>
      <c r="B53" t="s">
        <v>92</v>
      </c>
      <c r="C53" t="s">
        <v>93</v>
      </c>
      <c r="D53" s="84">
        <v>15</v>
      </c>
    </row>
    <row r="54" spans="1:4">
      <c r="A54" s="24" t="s">
        <v>44</v>
      </c>
      <c r="D54" s="84">
        <f>SUBTOTAL(109,Submódulo2.3882[Valor])</f>
        <v>360.19560000000001</v>
      </c>
    </row>
    <row r="55" spans="1:4">
      <c r="A55" s="24"/>
      <c r="D55" s="84"/>
    </row>
    <row r="56" spans="1:4">
      <c r="A56" s="141" t="s">
        <v>94</v>
      </c>
      <c r="B56" s="141"/>
      <c r="C56" s="141"/>
      <c r="D56" s="141"/>
    </row>
    <row r="57" spans="1:4">
      <c r="A57" s="134" t="s">
        <v>2</v>
      </c>
      <c r="B57" s="134" t="s">
        <v>59</v>
      </c>
      <c r="C57" s="134" t="s">
        <v>60</v>
      </c>
      <c r="D57" s="134" t="s">
        <v>61</v>
      </c>
    </row>
    <row r="58" spans="1:4" ht="45">
      <c r="A58" s="67" t="s">
        <v>28</v>
      </c>
      <c r="B58" s="136" t="s">
        <v>87</v>
      </c>
      <c r="C58" s="38" t="s">
        <v>95</v>
      </c>
      <c r="D58" s="38" t="s">
        <v>96</v>
      </c>
    </row>
    <row r="59" spans="1:4" ht="30">
      <c r="A59" s="67" t="s">
        <v>31</v>
      </c>
      <c r="B59" s="137" t="s">
        <v>88</v>
      </c>
      <c r="C59" s="38" t="s">
        <v>95</v>
      </c>
      <c r="D59" s="38" t="s">
        <v>97</v>
      </c>
    </row>
    <row r="60" spans="1:4" ht="19.5" customHeight="1">
      <c r="A60" s="24"/>
      <c r="D60" s="84"/>
    </row>
    <row r="61" spans="1:4">
      <c r="A61" s="144" t="s">
        <v>98</v>
      </c>
      <c r="B61" s="144"/>
      <c r="C61" s="144"/>
      <c r="D61" s="144"/>
    </row>
    <row r="62" spans="1:4">
      <c r="A62" s="24" t="s">
        <v>99</v>
      </c>
      <c r="B62" t="s">
        <v>100</v>
      </c>
      <c r="C62" s="24" t="s">
        <v>4</v>
      </c>
      <c r="D62" s="24" t="s">
        <v>5</v>
      </c>
    </row>
    <row r="63" spans="1:4">
      <c r="A63" s="24" t="s">
        <v>51</v>
      </c>
      <c r="B63" t="s">
        <v>52</v>
      </c>
      <c r="C63" s="24"/>
      <c r="D63" s="84">
        <f>Submódulo2.1480[[#Totals],[Valor]]</f>
        <v>156.30444444444444</v>
      </c>
    </row>
    <row r="64" spans="1:4">
      <c r="A64" s="24" t="s">
        <v>67</v>
      </c>
      <c r="B64" t="s">
        <v>68</v>
      </c>
      <c r="C64" s="24"/>
      <c r="D64" s="84">
        <f>Submódulo2.2681[[#Totals],[Valor ]]</f>
        <v>575.20035555555569</v>
      </c>
    </row>
    <row r="65" spans="1:4">
      <c r="A65" s="24" t="s">
        <v>85</v>
      </c>
      <c r="B65" t="s">
        <v>86</v>
      </c>
      <c r="C65" s="24"/>
      <c r="D65" s="84">
        <f>Submódulo2.3882[[#Totals],[Valor]]</f>
        <v>360.19560000000001</v>
      </c>
    </row>
    <row r="66" spans="1:4">
      <c r="A66" s="24" t="s">
        <v>44</v>
      </c>
      <c r="C66" s="24"/>
      <c r="D66" s="84">
        <f>SUBTOTAL(109,ResumoMódulo2983[Valor])</f>
        <v>1091.7004000000002</v>
      </c>
    </row>
    <row r="68" spans="1:4">
      <c r="A68" s="140" t="s">
        <v>101</v>
      </c>
      <c r="B68" s="140"/>
      <c r="C68" s="140"/>
      <c r="D68" s="140"/>
    </row>
    <row r="69" spans="1:4">
      <c r="A69" s="24" t="s">
        <v>102</v>
      </c>
      <c r="B69" t="s">
        <v>103</v>
      </c>
      <c r="C69" s="24" t="s">
        <v>4</v>
      </c>
      <c r="D69" s="24" t="s">
        <v>5</v>
      </c>
    </row>
    <row r="70" spans="1:4">
      <c r="A70" s="24" t="s">
        <v>28</v>
      </c>
      <c r="B70" t="s">
        <v>104</v>
      </c>
      <c r="D70" s="84">
        <f>((Módulo1379[[#Totals],[Valor]]+D63+D65)/12)*G10</f>
        <v>69.5091006062963</v>
      </c>
    </row>
    <row r="71" spans="1:4">
      <c r="A71" s="24" t="s">
        <v>31</v>
      </c>
      <c r="B71" t="s">
        <v>105</v>
      </c>
      <c r="D71" s="84">
        <f>(D40/12)*Encarregado!G10</f>
        <v>4.5192825037037032</v>
      </c>
    </row>
    <row r="72" spans="1:4">
      <c r="A72" s="24" t="s">
        <v>34</v>
      </c>
      <c r="B72" t="s">
        <v>106</v>
      </c>
      <c r="D72" s="84">
        <f>D40*50%*Encarregado!G10</f>
        <v>27.115695022222219</v>
      </c>
    </row>
    <row r="73" spans="1:4">
      <c r="A73" s="24" t="s">
        <v>36</v>
      </c>
      <c r="B73" t="s">
        <v>107</v>
      </c>
      <c r="D73" s="84">
        <f>((Módulo1379[[#Totals],[Valor]]+ResumoMódulo2983[[#Totals],[Valor]])/12)*G11</f>
        <v>90.297800123333346</v>
      </c>
    </row>
    <row r="74" spans="1:4">
      <c r="A74" s="24" t="s">
        <v>39</v>
      </c>
      <c r="B74" t="s">
        <v>108</v>
      </c>
      <c r="D74" s="84">
        <f>D40*50%*Encarregado!G11</f>
        <v>27.115695022222219</v>
      </c>
    </row>
    <row r="75" spans="1:4">
      <c r="A75" s="24" t="s">
        <v>41</v>
      </c>
      <c r="B75" t="s">
        <v>109</v>
      </c>
      <c r="D75" s="84">
        <f>-D63*Encarregado!G12</f>
        <v>-3.4074368888888888</v>
      </c>
    </row>
    <row r="76" spans="1:4">
      <c r="A76" s="24" t="s">
        <v>44</v>
      </c>
      <c r="D76" s="84">
        <f>SUBTOTAL(109,Módulo32484[Valor])</f>
        <v>215.15013638888891</v>
      </c>
    </row>
    <row r="77" spans="1:4">
      <c r="A77" s="24"/>
      <c r="D77" s="84"/>
    </row>
    <row r="78" spans="1:4">
      <c r="A78" s="141" t="s">
        <v>110</v>
      </c>
      <c r="B78" s="141"/>
      <c r="C78" s="141"/>
      <c r="D78" s="141"/>
    </row>
    <row r="79" spans="1:4">
      <c r="A79" s="134" t="s">
        <v>2</v>
      </c>
      <c r="B79" s="134" t="s">
        <v>59</v>
      </c>
      <c r="C79" s="134" t="s">
        <v>60</v>
      </c>
      <c r="D79" s="134" t="s">
        <v>61</v>
      </c>
    </row>
    <row r="80" spans="1:4" ht="60">
      <c r="A80" s="67" t="s">
        <v>28</v>
      </c>
      <c r="B80" s="136" t="s">
        <v>104</v>
      </c>
      <c r="C80" s="38" t="s">
        <v>111</v>
      </c>
      <c r="D80" s="38" t="s">
        <v>112</v>
      </c>
    </row>
    <row r="81" spans="1:5" ht="60">
      <c r="A81" s="67" t="s">
        <v>31</v>
      </c>
      <c r="B81" s="137" t="s">
        <v>105</v>
      </c>
      <c r="C81" s="38" t="s">
        <v>113</v>
      </c>
      <c r="D81" s="38" t="s">
        <v>112</v>
      </c>
    </row>
    <row r="82" spans="1:5" ht="75">
      <c r="A82" s="67" t="s">
        <v>34</v>
      </c>
      <c r="B82" s="137" t="s">
        <v>106</v>
      </c>
      <c r="C82" s="38" t="s">
        <v>113</v>
      </c>
      <c r="D82" s="82" t="s">
        <v>114</v>
      </c>
    </row>
    <row r="83" spans="1:5" ht="60">
      <c r="A83" s="67" t="s">
        <v>36</v>
      </c>
      <c r="B83" s="138" t="s">
        <v>107</v>
      </c>
      <c r="C83" s="38" t="s">
        <v>115</v>
      </c>
      <c r="D83" s="82" t="s">
        <v>116</v>
      </c>
    </row>
    <row r="84" spans="1:5" ht="75">
      <c r="A84" s="67" t="s">
        <v>39</v>
      </c>
      <c r="B84" s="138" t="s">
        <v>108</v>
      </c>
      <c r="C84" s="38" t="s">
        <v>113</v>
      </c>
      <c r="D84" s="82" t="s">
        <v>117</v>
      </c>
    </row>
    <row r="85" spans="1:5" ht="60">
      <c r="A85" s="67" t="s">
        <v>41</v>
      </c>
      <c r="B85" s="138" t="s">
        <v>109</v>
      </c>
      <c r="C85" s="38" t="s">
        <v>118</v>
      </c>
      <c r="D85" s="82" t="s">
        <v>119</v>
      </c>
    </row>
    <row r="87" spans="1:5">
      <c r="A87" s="142" t="s">
        <v>120</v>
      </c>
      <c r="B87" s="143"/>
      <c r="C87" s="143"/>
      <c r="D87" s="143"/>
    </row>
    <row r="88" spans="1:5">
      <c r="A88" s="139" t="s">
        <v>121</v>
      </c>
      <c r="B88" s="139"/>
      <c r="C88" s="139"/>
      <c r="D88" s="139"/>
    </row>
    <row r="89" spans="1:5">
      <c r="A89" s="24" t="s">
        <v>122</v>
      </c>
      <c r="B89" t="s">
        <v>123</v>
      </c>
      <c r="C89" s="24" t="s">
        <v>124</v>
      </c>
      <c r="D89" s="24" t="s">
        <v>5</v>
      </c>
    </row>
    <row r="90" spans="1:5">
      <c r="A90" s="24" t="s">
        <v>28</v>
      </c>
      <c r="B90" t="s">
        <v>125</v>
      </c>
      <c r="C90" s="24">
        <v>30</v>
      </c>
      <c r="D90" s="84">
        <f t="shared" ref="D90:D95" si="0">(C90*G$24)/12</f>
        <v>191.55109666666667</v>
      </c>
      <c r="E90" s="104"/>
    </row>
    <row r="91" spans="1:5">
      <c r="A91" s="24" t="s">
        <v>31</v>
      </c>
      <c r="B91" t="s">
        <v>126</v>
      </c>
      <c r="C91" s="24">
        <v>1.4180999999999999</v>
      </c>
      <c r="D91" s="84">
        <f t="shared" si="0"/>
        <v>9.0546203394333329</v>
      </c>
      <c r="E91" s="104"/>
    </row>
    <row r="92" spans="1:5">
      <c r="A92" s="24" t="s">
        <v>34</v>
      </c>
      <c r="B92" t="s">
        <v>127</v>
      </c>
      <c r="C92" s="24">
        <v>0.1898</v>
      </c>
      <c r="D92" s="84">
        <f t="shared" si="0"/>
        <v>1.2118799382444443</v>
      </c>
      <c r="E92" s="104"/>
    </row>
    <row r="93" spans="1:5">
      <c r="A93" s="24" t="s">
        <v>36</v>
      </c>
      <c r="B93" t="s">
        <v>128</v>
      </c>
      <c r="C93" s="24">
        <v>0.95450000000000002</v>
      </c>
      <c r="D93" s="84">
        <f t="shared" si="0"/>
        <v>6.0945173922777771</v>
      </c>
      <c r="E93" s="104"/>
    </row>
    <row r="94" spans="1:5">
      <c r="A94" s="24" t="s">
        <v>39</v>
      </c>
      <c r="B94" t="s">
        <v>129</v>
      </c>
      <c r="C94" s="24">
        <v>2.4723000000000002</v>
      </c>
      <c r="D94" s="84">
        <f>(C94*G$25)/12</f>
        <v>1.4684396164000002</v>
      </c>
      <c r="E94" s="104"/>
    </row>
    <row r="95" spans="1:5">
      <c r="A95" s="24" t="s">
        <v>41</v>
      </c>
      <c r="B95" t="s">
        <v>130</v>
      </c>
      <c r="C95" s="24">
        <v>3.4521000000000002</v>
      </c>
      <c r="D95" s="84">
        <f t="shared" si="0"/>
        <v>22.041784693433332</v>
      </c>
      <c r="E95" s="104"/>
    </row>
    <row r="96" spans="1:5">
      <c r="A96" s="24" t="s">
        <v>44</v>
      </c>
      <c r="C96" s="24">
        <f>SUBTOTAL(109,Submódulo4.12585[Dias de ausência])</f>
        <v>38.486800000000002</v>
      </c>
      <c r="D96" s="84">
        <f>SUBTOTAL(109,Submódulo4.12585[Valor])</f>
        <v>231.42233864645553</v>
      </c>
    </row>
    <row r="97" spans="1:4">
      <c r="A97" s="24"/>
      <c r="C97" s="24"/>
      <c r="D97" s="84"/>
    </row>
    <row r="98" spans="1:4">
      <c r="A98" s="141" t="s">
        <v>131</v>
      </c>
      <c r="B98" s="141"/>
      <c r="C98" s="141"/>
      <c r="D98" s="141"/>
    </row>
    <row r="99" spans="1:4">
      <c r="A99" s="134" t="s">
        <v>2</v>
      </c>
      <c r="B99" s="134" t="s">
        <v>59</v>
      </c>
      <c r="C99" s="134" t="s">
        <v>60</v>
      </c>
      <c r="D99" s="134" t="s">
        <v>61</v>
      </c>
    </row>
    <row r="100" spans="1:4">
      <c r="A100" s="67" t="s">
        <v>132</v>
      </c>
      <c r="B100" s="136" t="s">
        <v>133</v>
      </c>
      <c r="C100" s="38"/>
      <c r="D100" s="38"/>
    </row>
    <row r="101" spans="1:4" ht="60">
      <c r="A101" s="67" t="s">
        <v>134</v>
      </c>
      <c r="B101" s="137" t="s">
        <v>135</v>
      </c>
      <c r="C101" s="38" t="s">
        <v>136</v>
      </c>
      <c r="D101" s="38" t="s">
        <v>137</v>
      </c>
    </row>
    <row r="102" spans="1:4" ht="60">
      <c r="A102" s="67" t="s">
        <v>39</v>
      </c>
      <c r="B102" s="137" t="s">
        <v>138</v>
      </c>
      <c r="C102" s="38" t="s">
        <v>139</v>
      </c>
      <c r="D102" s="38" t="s">
        <v>137</v>
      </c>
    </row>
    <row r="103" spans="1:4">
      <c r="A103" s="24"/>
      <c r="C103" s="24"/>
      <c r="D103" s="84"/>
    </row>
    <row r="104" spans="1:4">
      <c r="A104" s="144" t="s">
        <v>140</v>
      </c>
      <c r="B104" s="144"/>
      <c r="C104" s="144"/>
      <c r="D104" s="144"/>
    </row>
    <row r="105" spans="1:4">
      <c r="A105" s="24" t="s">
        <v>141</v>
      </c>
      <c r="B105" t="s">
        <v>142</v>
      </c>
      <c r="C105" s="24" t="s">
        <v>4</v>
      </c>
      <c r="D105" s="24" t="s">
        <v>5</v>
      </c>
    </row>
    <row r="106" spans="1:4">
      <c r="A106" s="24" t="s">
        <v>28</v>
      </c>
      <c r="B106" t="s">
        <v>143</v>
      </c>
      <c r="C106" s="24"/>
      <c r="D106" s="84"/>
    </row>
    <row r="107" spans="1:4">
      <c r="A107" s="24" t="s">
        <v>44</v>
      </c>
      <c r="C107" s="24"/>
      <c r="D107" s="84">
        <f>SUBTOTAL(109,Submódulo4.22686[Valor])</f>
        <v>0</v>
      </c>
    </row>
    <row r="109" spans="1:4">
      <c r="A109" s="139" t="s">
        <v>144</v>
      </c>
      <c r="B109" s="139"/>
      <c r="C109" s="139"/>
      <c r="D109" s="139"/>
    </row>
    <row r="110" spans="1:4">
      <c r="A110" s="24" t="s">
        <v>145</v>
      </c>
      <c r="B110" t="s">
        <v>146</v>
      </c>
      <c r="C110" s="24" t="s">
        <v>4</v>
      </c>
      <c r="D110" s="24" t="s">
        <v>5</v>
      </c>
    </row>
    <row r="111" spans="1:4">
      <c r="A111" s="24" t="s">
        <v>122</v>
      </c>
      <c r="B111" t="s">
        <v>123</v>
      </c>
      <c r="D111" s="84">
        <f>Submódulo4.12585[[#Totals],[Valor]]</f>
        <v>231.42233864645553</v>
      </c>
    </row>
    <row r="112" spans="1:4">
      <c r="A112" s="24" t="s">
        <v>141</v>
      </c>
      <c r="B112" t="s">
        <v>147</v>
      </c>
      <c r="D112" s="84">
        <f>Submódulo4.22686[[#Totals],[Valor]]</f>
        <v>0</v>
      </c>
    </row>
    <row r="113" spans="1:4">
      <c r="A113" s="24" t="s">
        <v>44</v>
      </c>
      <c r="D113" s="84">
        <f>SUBTOTAL(109,ResumoMódulo42787[Valor])</f>
        <v>231.42233864645553</v>
      </c>
    </row>
    <row r="115" spans="1:4">
      <c r="A115" s="140" t="s">
        <v>148</v>
      </c>
      <c r="B115" s="140"/>
      <c r="C115" s="140"/>
      <c r="D115" s="140"/>
    </row>
    <row r="116" spans="1:4">
      <c r="A116" s="24" t="s">
        <v>149</v>
      </c>
      <c r="B116" t="s">
        <v>150</v>
      </c>
      <c r="C116" s="24" t="s">
        <v>4</v>
      </c>
      <c r="D116" s="24" t="s">
        <v>5</v>
      </c>
    </row>
    <row r="117" spans="1:4">
      <c r="A117" s="24" t="s">
        <v>28</v>
      </c>
      <c r="B117" t="s">
        <v>151</v>
      </c>
      <c r="D117" s="84">
        <f>Table4344[[#Totals],[Valor Mensal/ Empregado]]</f>
        <v>0</v>
      </c>
    </row>
    <row r="118" spans="1:4">
      <c r="A118" s="24" t="s">
        <v>31</v>
      </c>
      <c r="B118" t="s">
        <v>152</v>
      </c>
      <c r="D118" s="84"/>
    </row>
    <row r="119" spans="1:4">
      <c r="A119" s="24" t="s">
        <v>34</v>
      </c>
      <c r="B119" t="s">
        <v>153</v>
      </c>
      <c r="D119" s="84"/>
    </row>
    <row r="120" spans="1:4">
      <c r="A120" s="24" t="s">
        <v>36</v>
      </c>
      <c r="B120" t="s">
        <v>154</v>
      </c>
      <c r="D120" s="84"/>
    </row>
    <row r="121" spans="1:4">
      <c r="A121" s="24" t="s">
        <v>44</v>
      </c>
      <c r="D121" s="84">
        <f>SUBTOTAL(109,Módulo52888[Valor])</f>
        <v>0</v>
      </c>
    </row>
    <row r="122" spans="1:4">
      <c r="A122" s="24"/>
      <c r="D122" s="84"/>
    </row>
    <row r="123" spans="1:4">
      <c r="A123" s="141" t="s">
        <v>155</v>
      </c>
      <c r="B123" s="141"/>
      <c r="C123" s="141"/>
      <c r="D123" s="141"/>
    </row>
    <row r="124" spans="1:4">
      <c r="A124" s="134" t="s">
        <v>2</v>
      </c>
      <c r="B124" s="134" t="s">
        <v>59</v>
      </c>
      <c r="C124" s="134" t="s">
        <v>60</v>
      </c>
      <c r="D124" s="134" t="s">
        <v>61</v>
      </c>
    </row>
    <row r="125" spans="1:4">
      <c r="A125" s="67" t="s">
        <v>28</v>
      </c>
      <c r="B125" s="136" t="s">
        <v>151</v>
      </c>
      <c r="C125" s="38" t="s">
        <v>156</v>
      </c>
      <c r="D125" s="38"/>
    </row>
    <row r="126" spans="1:4" ht="30">
      <c r="A126" s="67" t="s">
        <v>31</v>
      </c>
      <c r="B126" s="137" t="s">
        <v>152</v>
      </c>
      <c r="C126" s="38" t="s">
        <v>157</v>
      </c>
      <c r="D126" s="38" t="s">
        <v>158</v>
      </c>
    </row>
    <row r="127" spans="1:4" ht="30">
      <c r="A127" s="67" t="s">
        <v>34</v>
      </c>
      <c r="B127" s="137" t="s">
        <v>153</v>
      </c>
      <c r="C127" s="38" t="s">
        <v>159</v>
      </c>
      <c r="D127" s="38" t="s">
        <v>158</v>
      </c>
    </row>
    <row r="128" spans="1:4">
      <c r="A128" s="67" t="s">
        <v>36</v>
      </c>
      <c r="B128" s="137" t="s">
        <v>154</v>
      </c>
      <c r="C128" s="38"/>
      <c r="D128" s="38"/>
    </row>
    <row r="130" spans="1:4">
      <c r="A130" s="140" t="s">
        <v>160</v>
      </c>
      <c r="B130" s="140"/>
      <c r="C130" s="140"/>
      <c r="D130" s="140"/>
    </row>
    <row r="131" spans="1:4" outlineLevel="1">
      <c r="A131" s="24" t="s">
        <v>161</v>
      </c>
      <c r="B131" t="s">
        <v>162</v>
      </c>
      <c r="C131" s="24" t="s">
        <v>24</v>
      </c>
      <c r="D131" s="24" t="s">
        <v>5</v>
      </c>
    </row>
    <row r="132" spans="1:4" outlineLevel="1">
      <c r="A132" s="24" t="s">
        <v>28</v>
      </c>
      <c r="B132" t="s">
        <v>163</v>
      </c>
      <c r="C132" s="111">
        <f>G16</f>
        <v>0.03</v>
      </c>
      <c r="D132" s="84">
        <f>Módulo62989[[#This Row],[Percentual]]*(D143+D144+D145+D146+D147)</f>
        <v>88.350386251060343</v>
      </c>
    </row>
    <row r="133" spans="1:4" outlineLevel="1">
      <c r="A133" s="24" t="s">
        <v>31</v>
      </c>
      <c r="B133" t="s">
        <v>45</v>
      </c>
      <c r="C133" s="111">
        <f>G17</f>
        <v>6.7900000000000002E-2</v>
      </c>
      <c r="D133" s="84">
        <f>(SUM(D143:D147)+D132)*Módulo62989[[#This Row],[Percentual]]</f>
        <v>205.9653654413469</v>
      </c>
    </row>
    <row r="134" spans="1:4">
      <c r="A134" s="24" t="s">
        <v>34</v>
      </c>
      <c r="B134" t="s">
        <v>164</v>
      </c>
      <c r="C134" s="111">
        <f>SUM(C135:C137)</f>
        <v>0.14250000000000002</v>
      </c>
      <c r="D134" s="84">
        <f>Módulo62989[[#This Row],[Percentual]]*D150</f>
        <v>538.31408665738161</v>
      </c>
    </row>
    <row r="135" spans="1:4">
      <c r="A135" s="24" t="s">
        <v>165</v>
      </c>
      <c r="B135" t="s">
        <v>46</v>
      </c>
      <c r="C135" s="111">
        <f>G18</f>
        <v>1.6500000000000001E-2</v>
      </c>
      <c r="D135" s="84">
        <f>Módulo62989[[#This Row],[Percentual]]*D150</f>
        <v>62.331104770854708</v>
      </c>
    </row>
    <row r="136" spans="1:4">
      <c r="A136" s="24" t="s">
        <v>166</v>
      </c>
      <c r="B136" t="s">
        <v>48</v>
      </c>
      <c r="C136" s="111">
        <f>G19</f>
        <v>7.5999999999999998E-2</v>
      </c>
      <c r="D136" s="84">
        <f>Módulo62989[[#This Row],[Percentual]]*D150</f>
        <v>287.10084621727015</v>
      </c>
    </row>
    <row r="137" spans="1:4">
      <c r="A137" s="24" t="s">
        <v>167</v>
      </c>
      <c r="B137" t="s">
        <v>50</v>
      </c>
      <c r="C137" s="111">
        <f>G20</f>
        <v>0.05</v>
      </c>
      <c r="D137" s="84">
        <f>Módulo62989[[#This Row],[Percentual]]*D150</f>
        <v>188.88213566925668</v>
      </c>
    </row>
    <row r="138" spans="1:4">
      <c r="A138" s="24" t="s">
        <v>44</v>
      </c>
      <c r="C138" s="124"/>
      <c r="D138" s="84">
        <f>SUM(D132:D134)</f>
        <v>832.62983834978888</v>
      </c>
    </row>
    <row r="139" spans="1:4">
      <c r="A139" s="24"/>
      <c r="C139" s="124"/>
      <c r="D139" s="84"/>
    </row>
    <row r="141" spans="1:4">
      <c r="A141" s="140" t="s">
        <v>168</v>
      </c>
      <c r="B141" s="140"/>
      <c r="C141" s="140"/>
      <c r="D141" s="140"/>
    </row>
    <row r="142" spans="1:4">
      <c r="A142" s="24" t="s">
        <v>2</v>
      </c>
      <c r="B142" s="24" t="s">
        <v>169</v>
      </c>
      <c r="C142" s="24" t="s">
        <v>95</v>
      </c>
      <c r="D142" s="24" t="s">
        <v>5</v>
      </c>
    </row>
    <row r="143" spans="1:4">
      <c r="A143" s="24" t="s">
        <v>28</v>
      </c>
      <c r="B143" t="s">
        <v>22</v>
      </c>
      <c r="D143" s="84">
        <f>Módulo1379[[#Totals],[Valor]]</f>
        <v>1406.74</v>
      </c>
    </row>
    <row r="144" spans="1:4">
      <c r="A144" s="24" t="s">
        <v>31</v>
      </c>
      <c r="B144" t="s">
        <v>47</v>
      </c>
      <c r="D144" s="84">
        <f>ResumoMódulo2983[[#Totals],[Valor]]</f>
        <v>1091.7004000000002</v>
      </c>
    </row>
    <row r="145" spans="1:4">
      <c r="A145" s="24" t="s">
        <v>34</v>
      </c>
      <c r="B145" t="s">
        <v>101</v>
      </c>
      <c r="D145" s="84">
        <f>Módulo32484[[#Totals],[Valor]]</f>
        <v>215.15013638888891</v>
      </c>
    </row>
    <row r="146" spans="1:4">
      <c r="A146" s="24" t="s">
        <v>36</v>
      </c>
      <c r="B146" t="s">
        <v>170</v>
      </c>
      <c r="D146" s="84">
        <f>ResumoMódulo42787[[#Totals],[Valor]]</f>
        <v>231.42233864645553</v>
      </c>
    </row>
    <row r="147" spans="1:4">
      <c r="A147" s="24" t="s">
        <v>39</v>
      </c>
      <c r="B147" t="s">
        <v>148</v>
      </c>
      <c r="D147" s="84">
        <f>Módulo52888[[#Totals],[Valor]]</f>
        <v>0</v>
      </c>
    </row>
    <row r="148" spans="1:4">
      <c r="A148" t="s">
        <v>171</v>
      </c>
      <c r="D148" s="84">
        <f>SUM(D143:D147)</f>
        <v>2945.0128750353447</v>
      </c>
    </row>
    <row r="149" spans="1:4">
      <c r="A149" s="24" t="s">
        <v>41</v>
      </c>
      <c r="B149" t="s">
        <v>160</v>
      </c>
      <c r="D149" s="84">
        <f>Módulo62989[[#Totals],[Valor]]</f>
        <v>832.62983834978888</v>
      </c>
    </row>
    <row r="150" spans="1:4">
      <c r="A150" s="48" t="s">
        <v>172</v>
      </c>
      <c r="B150" s="48"/>
      <c r="C150" s="48"/>
      <c r="D150" s="126">
        <f>(SUM(D143:D147)+D132+D133)/(100%-C134)</f>
        <v>3777.6427133851334</v>
      </c>
    </row>
  </sheetData>
  <mergeCells count="25">
    <mergeCell ref="A1:D1"/>
    <mergeCell ref="F1:G1"/>
    <mergeCell ref="F8:G8"/>
    <mergeCell ref="A9:D9"/>
    <mergeCell ref="F14:G14"/>
    <mergeCell ref="A19:D19"/>
    <mergeCell ref="A20:D20"/>
    <mergeCell ref="F22:G22"/>
    <mergeCell ref="A26:D26"/>
    <mergeCell ref="A31:D31"/>
    <mergeCell ref="A43:D43"/>
    <mergeCell ref="A47:D47"/>
    <mergeCell ref="A56:D56"/>
    <mergeCell ref="A61:D61"/>
    <mergeCell ref="A68:D68"/>
    <mergeCell ref="A78:D78"/>
    <mergeCell ref="A87:D87"/>
    <mergeCell ref="A88:D88"/>
    <mergeCell ref="A98:D98"/>
    <mergeCell ref="A104:D104"/>
    <mergeCell ref="A109:D109"/>
    <mergeCell ref="A115:D115"/>
    <mergeCell ref="A123:D123"/>
    <mergeCell ref="A130:D130"/>
    <mergeCell ref="A141:D141"/>
  </mergeCells>
  <pageMargins left="0.7" right="0.7" top="0.75" bottom="0.75" header="0.3" footer="0.3"/>
  <pageSetup paperSize="9" orientation="portrait"/>
  <legacyDrawing r:id="rId1"/>
  <tableParts count="23">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29"/>
  <sheetViews>
    <sheetView topLeftCell="A127" workbookViewId="0">
      <selection activeCell="C112" sqref="C112:C114"/>
    </sheetView>
  </sheetViews>
  <sheetFormatPr defaultColWidth="9.140625" defaultRowHeight="15"/>
  <cols>
    <col min="1" max="1" width="26.85546875" customWidth="1"/>
    <col min="2" max="2" width="45.42578125" customWidth="1"/>
    <col min="3" max="3" width="26.7109375" customWidth="1"/>
    <col min="4" max="4" width="13.5703125" customWidth="1"/>
    <col min="6" max="6" width="29.28515625" customWidth="1"/>
    <col min="7" max="7" width="11.42578125" customWidth="1"/>
  </cols>
  <sheetData>
    <row r="1" spans="1:7">
      <c r="A1" s="145" t="s">
        <v>0</v>
      </c>
      <c r="B1" s="145"/>
      <c r="C1" s="145"/>
      <c r="D1" s="145"/>
      <c r="F1" s="144" t="s">
        <v>1</v>
      </c>
      <c r="G1" s="144"/>
    </row>
    <row r="2" spans="1:7">
      <c r="A2" s="24" t="s">
        <v>2</v>
      </c>
      <c r="B2" t="s">
        <v>3</v>
      </c>
      <c r="C2" s="24" t="s">
        <v>4</v>
      </c>
      <c r="D2" s="24" t="s">
        <v>5</v>
      </c>
      <c r="F2" t="s">
        <v>3</v>
      </c>
      <c r="G2" t="s">
        <v>5</v>
      </c>
    </row>
    <row r="3" spans="1:7">
      <c r="A3" s="24">
        <v>1</v>
      </c>
      <c r="B3" t="s">
        <v>6</v>
      </c>
      <c r="C3" s="24"/>
      <c r="D3" s="24" t="s">
        <v>7</v>
      </c>
      <c r="F3" t="s">
        <v>8</v>
      </c>
      <c r="G3" s="98"/>
    </row>
    <row r="4" spans="1:7">
      <c r="A4" s="24">
        <v>2</v>
      </c>
      <c r="B4" t="s">
        <v>9</v>
      </c>
      <c r="C4" s="24"/>
      <c r="D4" s="24" t="s">
        <v>95</v>
      </c>
      <c r="F4" t="s">
        <v>11</v>
      </c>
      <c r="G4" s="98"/>
    </row>
    <row r="5" spans="1:7">
      <c r="A5" s="24">
        <v>3</v>
      </c>
      <c r="B5" t="s">
        <v>12</v>
      </c>
      <c r="C5" s="24" t="s">
        <v>192</v>
      </c>
      <c r="D5" s="99"/>
      <c r="F5" t="s">
        <v>14</v>
      </c>
      <c r="G5" s="97"/>
    </row>
    <row r="6" spans="1:7">
      <c r="A6" s="24">
        <v>4</v>
      </c>
      <c r="B6" t="s">
        <v>15</v>
      </c>
      <c r="C6" s="24" t="s">
        <v>174</v>
      </c>
      <c r="D6" s="24" t="s">
        <v>193</v>
      </c>
      <c r="F6" t="s">
        <v>18</v>
      </c>
      <c r="G6" s="100"/>
    </row>
    <row r="7" spans="1:7">
      <c r="A7" s="24">
        <v>5</v>
      </c>
      <c r="B7" t="s">
        <v>19</v>
      </c>
      <c r="C7" s="24"/>
      <c r="D7" s="24" t="s">
        <v>20</v>
      </c>
    </row>
    <row r="8" spans="1:7">
      <c r="F8" s="101"/>
      <c r="G8" s="102"/>
    </row>
    <row r="9" spans="1:7">
      <c r="A9" s="140" t="s">
        <v>22</v>
      </c>
      <c r="B9" s="140"/>
      <c r="C9" s="140"/>
      <c r="D9" s="140"/>
      <c r="F9" s="101"/>
      <c r="G9" s="102"/>
    </row>
    <row r="10" spans="1:7">
      <c r="A10" s="24" t="s">
        <v>25</v>
      </c>
      <c r="B10" t="s">
        <v>26</v>
      </c>
      <c r="C10" s="24" t="s">
        <v>4</v>
      </c>
      <c r="D10" s="24" t="s">
        <v>5</v>
      </c>
      <c r="F10" s="101"/>
      <c r="G10" s="102"/>
    </row>
    <row r="11" spans="1:7">
      <c r="A11" s="24" t="s">
        <v>28</v>
      </c>
      <c r="B11" t="s">
        <v>29</v>
      </c>
      <c r="C11" s="24"/>
      <c r="D11" s="84">
        <f>D5</f>
        <v>0</v>
      </c>
      <c r="F11" s="101"/>
      <c r="G11" s="102"/>
    </row>
    <row r="12" spans="1:7">
      <c r="A12" s="24" t="s">
        <v>31</v>
      </c>
      <c r="B12" t="s">
        <v>32</v>
      </c>
      <c r="C12" s="24"/>
      <c r="D12" s="84"/>
      <c r="F12" s="101"/>
      <c r="G12" s="102"/>
    </row>
    <row r="13" spans="1:7">
      <c r="A13" s="24" t="s">
        <v>34</v>
      </c>
      <c r="B13" t="s">
        <v>35</v>
      </c>
      <c r="C13" s="24" t="s">
        <v>194</v>
      </c>
      <c r="D13" s="84">
        <f>TRUNC(D11*40%,2)</f>
        <v>0</v>
      </c>
      <c r="F13" s="101"/>
      <c r="G13" s="102"/>
    </row>
    <row r="14" spans="1:7">
      <c r="A14" s="24" t="s">
        <v>36</v>
      </c>
      <c r="B14" t="s">
        <v>37</v>
      </c>
      <c r="C14" s="24"/>
      <c r="D14" s="84"/>
      <c r="F14" s="101"/>
      <c r="G14" s="102"/>
    </row>
    <row r="15" spans="1:7">
      <c r="A15" s="24" t="s">
        <v>39</v>
      </c>
      <c r="B15" t="s">
        <v>40</v>
      </c>
      <c r="C15" s="24"/>
      <c r="D15" s="84"/>
      <c r="F15" s="101"/>
      <c r="G15" s="102"/>
    </row>
    <row r="16" spans="1:7">
      <c r="A16" s="24" t="s">
        <v>41</v>
      </c>
      <c r="B16" t="s">
        <v>42</v>
      </c>
      <c r="C16" s="24"/>
      <c r="D16" s="84"/>
      <c r="F16" s="101"/>
      <c r="G16" s="102"/>
    </row>
    <row r="17" spans="1:7">
      <c r="A17" s="24" t="s">
        <v>44</v>
      </c>
      <c r="C17" s="24"/>
      <c r="D17" s="84">
        <f>TRUNC(SUM(D11:D16),2)</f>
        <v>0</v>
      </c>
      <c r="F17" s="101"/>
      <c r="G17" s="102"/>
    </row>
    <row r="18" spans="1:7">
      <c r="F18" s="101"/>
      <c r="G18" s="102"/>
    </row>
    <row r="19" spans="1:7">
      <c r="A19" s="143" t="s">
        <v>47</v>
      </c>
      <c r="B19" s="143"/>
      <c r="C19" s="143"/>
      <c r="D19" s="143"/>
      <c r="F19" s="101"/>
      <c r="G19" s="102"/>
    </row>
    <row r="20" spans="1:7">
      <c r="A20" s="144" t="s">
        <v>49</v>
      </c>
      <c r="B20" s="144"/>
      <c r="C20" s="144"/>
      <c r="D20" s="144"/>
      <c r="F20" s="101"/>
      <c r="G20" s="102"/>
    </row>
    <row r="21" spans="1:7">
      <c r="A21" s="24" t="s">
        <v>51</v>
      </c>
      <c r="B21" t="s">
        <v>52</v>
      </c>
      <c r="C21" s="24" t="s">
        <v>4</v>
      </c>
      <c r="D21" s="24" t="s">
        <v>5</v>
      </c>
      <c r="F21" s="101"/>
      <c r="G21" s="102"/>
    </row>
    <row r="22" spans="1:7">
      <c r="A22" s="24" t="s">
        <v>28</v>
      </c>
      <c r="B22" t="s">
        <v>53</v>
      </c>
      <c r="C22" s="103">
        <f>(1/12)</f>
        <v>8.3333333333333329E-2</v>
      </c>
      <c r="D22" s="84">
        <f>TRUNC($D$17*C22,2)</f>
        <v>0</v>
      </c>
      <c r="F22" s="101"/>
      <c r="G22" s="102"/>
    </row>
    <row r="23" spans="1:7">
      <c r="A23" s="24" t="s">
        <v>31</v>
      </c>
      <c r="B23" t="s">
        <v>55</v>
      </c>
      <c r="C23" s="103">
        <f>(((1+1/3)/12))</f>
        <v>0.1111111111111111</v>
      </c>
      <c r="D23" s="84">
        <f>TRUNC($D$17*C23,2)</f>
        <v>0</v>
      </c>
      <c r="E23" s="104"/>
      <c r="F23" s="101"/>
      <c r="G23" s="102"/>
    </row>
    <row r="24" spans="1:7">
      <c r="A24" s="24" t="s">
        <v>44</v>
      </c>
      <c r="D24" s="84">
        <f>TRUNC(SUM(D22:D23),2)</f>
        <v>0</v>
      </c>
      <c r="F24" s="101"/>
      <c r="G24" s="102"/>
    </row>
    <row r="25" spans="1:7">
      <c r="A25" s="24"/>
      <c r="D25" s="84"/>
      <c r="F25" s="101"/>
      <c r="G25" s="102"/>
    </row>
    <row r="26" spans="1:7">
      <c r="A26" s="147" t="s">
        <v>176</v>
      </c>
      <c r="B26" s="147"/>
      <c r="C26" s="105" t="s">
        <v>177</v>
      </c>
      <c r="D26" s="106">
        <f>D17</f>
        <v>0</v>
      </c>
      <c r="F26" s="107"/>
      <c r="G26" s="107"/>
    </row>
    <row r="27" spans="1:7">
      <c r="A27" s="147"/>
      <c r="B27" s="147"/>
      <c r="C27" s="108" t="s">
        <v>178</v>
      </c>
      <c r="D27" s="106">
        <f>D24</f>
        <v>0</v>
      </c>
      <c r="F27" s="107"/>
      <c r="G27" s="107"/>
    </row>
    <row r="28" spans="1:7">
      <c r="A28" s="147"/>
      <c r="B28" s="147"/>
      <c r="C28" s="105" t="s">
        <v>179</v>
      </c>
      <c r="D28" s="109">
        <f>TRUNC((SUM(D26:D27)),2)</f>
        <v>0</v>
      </c>
      <c r="F28" s="107"/>
      <c r="G28" s="107"/>
    </row>
    <row r="29" spans="1:7">
      <c r="A29" s="24"/>
      <c r="B29" s="24"/>
      <c r="C29" s="110"/>
      <c r="F29" s="107"/>
      <c r="G29" s="107"/>
    </row>
    <row r="30" spans="1:7">
      <c r="A30" s="144" t="s">
        <v>66</v>
      </c>
      <c r="B30" s="144"/>
      <c r="C30" s="144"/>
      <c r="D30" s="144"/>
    </row>
    <row r="31" spans="1:7">
      <c r="A31" s="24" t="s">
        <v>67</v>
      </c>
      <c r="B31" t="s">
        <v>68</v>
      </c>
      <c r="C31" s="24" t="s">
        <v>24</v>
      </c>
      <c r="D31" s="24" t="s">
        <v>69</v>
      </c>
    </row>
    <row r="32" spans="1:7">
      <c r="A32" s="24" t="s">
        <v>28</v>
      </c>
      <c r="B32" t="s">
        <v>70</v>
      </c>
      <c r="C32" s="111">
        <v>0.2</v>
      </c>
      <c r="D32" s="84">
        <f t="shared" ref="D32:D39" si="0">TRUNC(($D$28*C32),2)</f>
        <v>0</v>
      </c>
    </row>
    <row r="33" spans="1:4">
      <c r="A33" s="24" t="s">
        <v>31</v>
      </c>
      <c r="B33" t="s">
        <v>71</v>
      </c>
      <c r="C33" s="111">
        <v>2.5000000000000001E-2</v>
      </c>
      <c r="D33" s="84">
        <f t="shared" si="0"/>
        <v>0</v>
      </c>
    </row>
    <row r="34" spans="1:4">
      <c r="A34" s="24" t="s">
        <v>34</v>
      </c>
      <c r="B34" t="s">
        <v>72</v>
      </c>
      <c r="C34" s="112">
        <f>G6</f>
        <v>0</v>
      </c>
      <c r="D34" s="113">
        <f t="shared" si="0"/>
        <v>0</v>
      </c>
    </row>
    <row r="35" spans="1:4">
      <c r="A35" s="24" t="s">
        <v>36</v>
      </c>
      <c r="B35" t="s">
        <v>73</v>
      </c>
      <c r="C35" s="111">
        <v>1.4999999999999999E-2</v>
      </c>
      <c r="D35" s="84">
        <f t="shared" si="0"/>
        <v>0</v>
      </c>
    </row>
    <row r="36" spans="1:4">
      <c r="A36" s="24" t="s">
        <v>39</v>
      </c>
      <c r="B36" t="s">
        <v>74</v>
      </c>
      <c r="C36" s="111">
        <v>0.01</v>
      </c>
      <c r="D36" s="84">
        <f t="shared" si="0"/>
        <v>0</v>
      </c>
    </row>
    <row r="37" spans="1:4">
      <c r="A37" s="24" t="s">
        <v>41</v>
      </c>
      <c r="B37" t="s">
        <v>75</v>
      </c>
      <c r="C37" s="111">
        <v>6.0000000000000001E-3</v>
      </c>
      <c r="D37" s="84">
        <f t="shared" si="0"/>
        <v>0</v>
      </c>
    </row>
    <row r="38" spans="1:4">
      <c r="A38" s="24" t="s">
        <v>76</v>
      </c>
      <c r="B38" t="s">
        <v>77</v>
      </c>
      <c r="C38" s="111">
        <v>2E-3</v>
      </c>
      <c r="D38" s="84">
        <f t="shared" si="0"/>
        <v>0</v>
      </c>
    </row>
    <row r="39" spans="1:4">
      <c r="A39" s="24" t="s">
        <v>78</v>
      </c>
      <c r="B39" t="s">
        <v>79</v>
      </c>
      <c r="C39" s="111">
        <v>0.08</v>
      </c>
      <c r="D39" s="84">
        <f t="shared" si="0"/>
        <v>0</v>
      </c>
    </row>
    <row r="40" spans="1:4">
      <c r="A40" s="24" t="s">
        <v>44</v>
      </c>
      <c r="C40" s="114">
        <f>SUBTOTAL(109,Submódulo2.267_75136149163[Percentual])</f>
        <v>0.33800000000000002</v>
      </c>
      <c r="D40" s="84">
        <f>TRUNC(SUM(D32:D39),2)</f>
        <v>0</v>
      </c>
    </row>
    <row r="41" spans="1:4">
      <c r="A41" s="24"/>
      <c r="C41" s="114"/>
      <c r="D41" s="84"/>
    </row>
    <row r="42" spans="1:4">
      <c r="A42" s="144" t="s">
        <v>84</v>
      </c>
      <c r="B42" s="144"/>
      <c r="C42" s="144"/>
      <c r="D42" s="144"/>
    </row>
    <row r="43" spans="1:4">
      <c r="A43" s="24" t="s">
        <v>85</v>
      </c>
      <c r="B43" t="s">
        <v>86</v>
      </c>
      <c r="C43" s="24" t="s">
        <v>4</v>
      </c>
      <c r="D43" s="24" t="s">
        <v>5</v>
      </c>
    </row>
    <row r="44" spans="1:4">
      <c r="A44" s="24" t="s">
        <v>28</v>
      </c>
      <c r="B44" t="s">
        <v>87</v>
      </c>
      <c r="D44" s="113"/>
    </row>
    <row r="45" spans="1:4">
      <c r="A45" s="24" t="s">
        <v>31</v>
      </c>
      <c r="B45" t="s">
        <v>88</v>
      </c>
      <c r="D45" s="113"/>
    </row>
    <row r="46" spans="1:4">
      <c r="A46" s="24" t="s">
        <v>34</v>
      </c>
      <c r="B46" t="s">
        <v>89</v>
      </c>
      <c r="D46" s="113"/>
    </row>
    <row r="47" spans="1:4">
      <c r="A47" s="24" t="s">
        <v>36</v>
      </c>
      <c r="B47" t="s">
        <v>90</v>
      </c>
      <c r="C47" s="115" t="s">
        <v>174</v>
      </c>
      <c r="D47" s="113"/>
    </row>
    <row r="48" spans="1:4">
      <c r="A48" s="24" t="s">
        <v>39</v>
      </c>
      <c r="B48" t="s">
        <v>92</v>
      </c>
      <c r="C48" s="115" t="s">
        <v>174</v>
      </c>
      <c r="D48" s="113"/>
    </row>
    <row r="49" spans="1:4">
      <c r="A49" s="24" t="s">
        <v>44</v>
      </c>
      <c r="D49" s="84"/>
    </row>
    <row r="50" spans="1:4">
      <c r="A50" s="24"/>
      <c r="D50" s="84"/>
    </row>
    <row r="51" spans="1:4">
      <c r="A51" s="144" t="s">
        <v>98</v>
      </c>
      <c r="B51" s="144"/>
      <c r="C51" s="144"/>
      <c r="D51" s="144"/>
    </row>
    <row r="52" spans="1:4">
      <c r="A52" s="24" t="s">
        <v>99</v>
      </c>
      <c r="B52" t="s">
        <v>100</v>
      </c>
      <c r="C52" s="24" t="s">
        <v>4</v>
      </c>
      <c r="D52" s="24" t="s">
        <v>5</v>
      </c>
    </row>
    <row r="53" spans="1:4">
      <c r="A53" s="24" t="s">
        <v>51</v>
      </c>
      <c r="B53" t="s">
        <v>52</v>
      </c>
      <c r="C53" s="24"/>
      <c r="D53" s="84">
        <f>D24</f>
        <v>0</v>
      </c>
    </row>
    <row r="54" spans="1:4">
      <c r="A54" s="24" t="s">
        <v>67</v>
      </c>
      <c r="B54" t="s">
        <v>68</v>
      </c>
      <c r="C54" s="24"/>
      <c r="D54" s="84">
        <f>D40</f>
        <v>0</v>
      </c>
    </row>
    <row r="55" spans="1:4">
      <c r="A55" s="24" t="s">
        <v>85</v>
      </c>
      <c r="B55" t="s">
        <v>86</v>
      </c>
      <c r="C55" s="24"/>
      <c r="D55" s="84">
        <f>D49</f>
        <v>0</v>
      </c>
    </row>
    <row r="56" spans="1:4">
      <c r="A56" s="24" t="s">
        <v>44</v>
      </c>
      <c r="C56" s="24"/>
      <c r="D56" s="84">
        <f>TRUNC(SUM(D53:D55),2)</f>
        <v>0</v>
      </c>
    </row>
    <row r="58" spans="1:4">
      <c r="A58" s="140" t="s">
        <v>101</v>
      </c>
      <c r="B58" s="140"/>
      <c r="C58" s="140"/>
      <c r="D58" s="140"/>
    </row>
    <row r="59" spans="1:4">
      <c r="A59" s="24" t="s">
        <v>102</v>
      </c>
      <c r="B59" t="s">
        <v>103</v>
      </c>
      <c r="C59" s="24" t="s">
        <v>4</v>
      </c>
      <c r="D59" s="24" t="s">
        <v>5</v>
      </c>
    </row>
    <row r="60" spans="1:4">
      <c r="A60" s="24" t="s">
        <v>28</v>
      </c>
      <c r="B60" s="23" t="s">
        <v>104</v>
      </c>
      <c r="C60" s="116"/>
      <c r="D60" s="117">
        <f t="shared" ref="D60:D63" si="1">TRUNC(($D$17*C60),2)</f>
        <v>0</v>
      </c>
    </row>
    <row r="61" spans="1:4" ht="30">
      <c r="A61" s="24" t="s">
        <v>31</v>
      </c>
      <c r="B61" s="23" t="s">
        <v>105</v>
      </c>
      <c r="C61" s="103"/>
      <c r="D61" s="42">
        <f>TRUNC(D60*C61,2)</f>
        <v>0</v>
      </c>
    </row>
    <row r="62" spans="1:4" ht="30">
      <c r="A62" s="24" t="s">
        <v>34</v>
      </c>
      <c r="B62" s="23" t="s">
        <v>106</v>
      </c>
      <c r="C62" s="116"/>
      <c r="D62" s="117">
        <f t="shared" si="1"/>
        <v>0</v>
      </c>
    </row>
    <row r="63" spans="1:4">
      <c r="A63" s="24" t="s">
        <v>36</v>
      </c>
      <c r="B63" s="23" t="s">
        <v>107</v>
      </c>
      <c r="C63" s="103"/>
      <c r="D63" s="42">
        <f t="shared" si="1"/>
        <v>0</v>
      </c>
    </row>
    <row r="64" spans="1:4" ht="30">
      <c r="A64" s="24" t="s">
        <v>39</v>
      </c>
      <c r="B64" s="23" t="s">
        <v>180</v>
      </c>
      <c r="C64" s="103"/>
      <c r="D64" s="42">
        <f>TRUNC(D63*C64,2)</f>
        <v>0</v>
      </c>
    </row>
    <row r="65" spans="1:5" ht="30">
      <c r="A65" s="24" t="s">
        <v>41</v>
      </c>
      <c r="B65" s="23" t="s">
        <v>108</v>
      </c>
      <c r="C65" s="116"/>
      <c r="D65" s="117">
        <f>TRUNC(($D$17*C65),2)</f>
        <v>0</v>
      </c>
    </row>
    <row r="66" spans="1:5">
      <c r="A66" s="24" t="s">
        <v>44</v>
      </c>
      <c r="D66" s="84">
        <f>TRUNC(SUM(D60:D65),2)</f>
        <v>0</v>
      </c>
    </row>
    <row r="67" spans="1:5">
      <c r="A67" s="24"/>
      <c r="D67" s="84"/>
    </row>
    <row r="68" spans="1:5">
      <c r="A68" s="147" t="s">
        <v>181</v>
      </c>
      <c r="B68" s="147"/>
      <c r="C68" s="105" t="s">
        <v>177</v>
      </c>
      <c r="D68" s="106">
        <f>D17</f>
        <v>0</v>
      </c>
    </row>
    <row r="69" spans="1:5">
      <c r="A69" s="147"/>
      <c r="B69" s="147"/>
      <c r="C69" s="108" t="s">
        <v>182</v>
      </c>
      <c r="D69" s="106">
        <f>D56</f>
        <v>0</v>
      </c>
    </row>
    <row r="70" spans="1:5">
      <c r="A70" s="147"/>
      <c r="B70" s="147"/>
      <c r="C70" s="105" t="s">
        <v>183</v>
      </c>
      <c r="D70" s="106">
        <f>D66</f>
        <v>0</v>
      </c>
    </row>
    <row r="71" spans="1:5">
      <c r="A71" s="147"/>
      <c r="B71" s="147"/>
      <c r="C71" s="108" t="s">
        <v>179</v>
      </c>
      <c r="D71" s="109">
        <f>TRUNC((SUM(D68:D70)),2)</f>
        <v>0</v>
      </c>
    </row>
    <row r="72" spans="1:5">
      <c r="A72" s="24"/>
      <c r="D72" s="84"/>
    </row>
    <row r="73" spans="1:5">
      <c r="A73" s="142" t="s">
        <v>120</v>
      </c>
      <c r="B73" s="143"/>
      <c r="C73" s="143"/>
      <c r="D73" s="143"/>
    </row>
    <row r="74" spans="1:5">
      <c r="A74" s="139" t="s">
        <v>121</v>
      </c>
      <c r="B74" s="139"/>
      <c r="C74" s="139"/>
      <c r="D74" s="139"/>
    </row>
    <row r="75" spans="1:5">
      <c r="A75" s="24" t="s">
        <v>122</v>
      </c>
      <c r="B75" t="s">
        <v>123</v>
      </c>
      <c r="C75" s="24" t="s">
        <v>124</v>
      </c>
      <c r="D75" s="24" t="s">
        <v>5</v>
      </c>
    </row>
    <row r="76" spans="1:5">
      <c r="A76" s="24" t="s">
        <v>28</v>
      </c>
      <c r="B76" t="s">
        <v>125</v>
      </c>
      <c r="C76" s="118"/>
      <c r="D76" s="84">
        <f t="shared" ref="D76:D81" si="2">TRUNC(($D$71*C76),2)</f>
        <v>0</v>
      </c>
      <c r="E76" s="104"/>
    </row>
    <row r="77" spans="1:5">
      <c r="A77" s="24" t="s">
        <v>31</v>
      </c>
      <c r="B77" t="s">
        <v>126</v>
      </c>
      <c r="C77" s="118"/>
      <c r="D77" s="84">
        <f t="shared" si="2"/>
        <v>0</v>
      </c>
      <c r="E77" s="104"/>
    </row>
    <row r="78" spans="1:5">
      <c r="A78" s="24" t="s">
        <v>34</v>
      </c>
      <c r="B78" t="s">
        <v>127</v>
      </c>
      <c r="C78" s="118"/>
      <c r="D78" s="84">
        <f t="shared" si="2"/>
        <v>0</v>
      </c>
      <c r="E78" s="104"/>
    </row>
    <row r="79" spans="1:5">
      <c r="A79" s="24" t="s">
        <v>36</v>
      </c>
      <c r="B79" t="s">
        <v>128</v>
      </c>
      <c r="C79" s="118"/>
      <c r="D79" s="84">
        <f t="shared" si="2"/>
        <v>0</v>
      </c>
      <c r="E79" s="104"/>
    </row>
    <row r="80" spans="1:5">
      <c r="A80" s="24" t="s">
        <v>39</v>
      </c>
      <c r="B80" t="s">
        <v>129</v>
      </c>
      <c r="C80" s="118"/>
      <c r="D80" s="84">
        <f t="shared" si="2"/>
        <v>0</v>
      </c>
      <c r="E80" s="104"/>
    </row>
    <row r="81" spans="1:5">
      <c r="A81" s="24" t="s">
        <v>41</v>
      </c>
      <c r="B81" t="s">
        <v>184</v>
      </c>
      <c r="C81" s="118"/>
      <c r="D81" s="84">
        <f t="shared" si="2"/>
        <v>0</v>
      </c>
      <c r="E81" s="104"/>
    </row>
    <row r="82" spans="1:5">
      <c r="A82" s="24" t="s">
        <v>44</v>
      </c>
      <c r="C82" s="118">
        <f>SUBTOTAL(109,Submódulo4.12511_4132144159[Dias de ausência])</f>
        <v>0</v>
      </c>
      <c r="D82" s="84">
        <f>TRUNC(SUM(D76:D81),2)</f>
        <v>0</v>
      </c>
    </row>
    <row r="83" spans="1:5">
      <c r="A83" s="24"/>
      <c r="C83" s="24"/>
      <c r="D83" s="84"/>
    </row>
    <row r="84" spans="1:5">
      <c r="A84" s="144" t="s">
        <v>140</v>
      </c>
      <c r="B84" s="144"/>
      <c r="C84" s="144"/>
      <c r="D84" s="144"/>
    </row>
    <row r="85" spans="1:5">
      <c r="A85" s="24" t="s">
        <v>141</v>
      </c>
      <c r="B85" t="s">
        <v>142</v>
      </c>
      <c r="C85" s="24" t="s">
        <v>4</v>
      </c>
      <c r="D85" s="24" t="s">
        <v>5</v>
      </c>
    </row>
    <row r="86" spans="1:5">
      <c r="A86" s="24" t="s">
        <v>28</v>
      </c>
      <c r="B86" t="s">
        <v>143</v>
      </c>
      <c r="C86" s="24"/>
      <c r="D86" s="84"/>
    </row>
    <row r="87" spans="1:5">
      <c r="A87" s="24" t="s">
        <v>44</v>
      </c>
      <c r="C87" s="24"/>
      <c r="D87" s="84">
        <f>SUBTOTAL(109,Submódulo4.22612_31129147158[Valor])</f>
        <v>0</v>
      </c>
    </row>
    <row r="89" spans="1:5">
      <c r="A89" s="139" t="s">
        <v>144</v>
      </c>
      <c r="B89" s="139"/>
      <c r="C89" s="139"/>
      <c r="D89" s="139"/>
    </row>
    <row r="90" spans="1:5">
      <c r="A90" s="24" t="s">
        <v>145</v>
      </c>
      <c r="B90" t="s">
        <v>146</v>
      </c>
      <c r="C90" s="24" t="s">
        <v>4</v>
      </c>
      <c r="D90" s="24" t="s">
        <v>5</v>
      </c>
    </row>
    <row r="91" spans="1:5">
      <c r="A91" s="24" t="s">
        <v>122</v>
      </c>
      <c r="B91" t="s">
        <v>123</v>
      </c>
      <c r="D91" s="84">
        <f>D82</f>
        <v>0</v>
      </c>
    </row>
    <row r="92" spans="1:5">
      <c r="A92" s="24" t="s">
        <v>141</v>
      </c>
      <c r="B92" t="s">
        <v>147</v>
      </c>
      <c r="D92" s="84">
        <f>Submódulo4.22612_31129147158[[#Totals],[Valor]]</f>
        <v>0</v>
      </c>
    </row>
    <row r="93" spans="1:5">
      <c r="A93" s="24" t="s">
        <v>44</v>
      </c>
      <c r="D93" s="84">
        <f>TRUNC(SUM(D91:D92),2)</f>
        <v>0</v>
      </c>
    </row>
    <row r="95" spans="1:5">
      <c r="A95" s="140" t="s">
        <v>148</v>
      </c>
      <c r="B95" s="140"/>
      <c r="C95" s="140"/>
      <c r="D95" s="140"/>
    </row>
    <row r="96" spans="1:5">
      <c r="A96" s="24" t="s">
        <v>149</v>
      </c>
      <c r="B96" t="s">
        <v>150</v>
      </c>
      <c r="C96" s="24" t="s">
        <v>4</v>
      </c>
      <c r="D96" s="24" t="s">
        <v>5</v>
      </c>
    </row>
    <row r="97" spans="1:7">
      <c r="A97" s="24" t="s">
        <v>28</v>
      </c>
      <c r="B97" t="s">
        <v>151</v>
      </c>
      <c r="D97" s="71"/>
    </row>
    <row r="98" spans="1:7">
      <c r="A98" s="24" t="s">
        <v>31</v>
      </c>
      <c r="B98" t="s">
        <v>152</v>
      </c>
      <c r="D98" s="71"/>
    </row>
    <row r="99" spans="1:7">
      <c r="A99" s="24" t="s">
        <v>34</v>
      </c>
      <c r="B99" t="s">
        <v>153</v>
      </c>
      <c r="D99" s="71"/>
    </row>
    <row r="100" spans="1:7">
      <c r="A100" s="24" t="s">
        <v>36</v>
      </c>
      <c r="B100" t="s">
        <v>154</v>
      </c>
      <c r="D100" s="71"/>
    </row>
    <row r="101" spans="1:7">
      <c r="A101" s="24" t="s">
        <v>44</v>
      </c>
      <c r="D101" s="84"/>
    </row>
    <row r="102" spans="1:7">
      <c r="A102" s="24"/>
      <c r="D102" s="84"/>
    </row>
    <row r="103" spans="1:7">
      <c r="A103" s="147" t="s">
        <v>185</v>
      </c>
      <c r="B103" s="147"/>
      <c r="C103" s="105" t="s">
        <v>177</v>
      </c>
      <c r="D103" s="106">
        <f>D17</f>
        <v>0</v>
      </c>
    </row>
    <row r="104" spans="1:7">
      <c r="A104" s="147"/>
      <c r="B104" s="147"/>
      <c r="C104" s="108" t="s">
        <v>182</v>
      </c>
      <c r="D104" s="106">
        <f>D56</f>
        <v>0</v>
      </c>
    </row>
    <row r="105" spans="1:7">
      <c r="A105" s="147"/>
      <c r="B105" s="147"/>
      <c r="C105" s="105" t="s">
        <v>183</v>
      </c>
      <c r="D105" s="106">
        <f>D66</f>
        <v>0</v>
      </c>
    </row>
    <row r="106" spans="1:7">
      <c r="A106" s="147"/>
      <c r="B106" s="147"/>
      <c r="C106" s="108" t="s">
        <v>186</v>
      </c>
      <c r="D106" s="106">
        <f>D93</f>
        <v>0</v>
      </c>
    </row>
    <row r="107" spans="1:7">
      <c r="A107" s="147"/>
      <c r="B107" s="147"/>
      <c r="C107" s="105" t="s">
        <v>187</v>
      </c>
      <c r="D107" s="106">
        <f>D101</f>
        <v>0</v>
      </c>
    </row>
    <row r="108" spans="1:7">
      <c r="A108" s="147"/>
      <c r="B108" s="147"/>
      <c r="C108" s="108" t="s">
        <v>179</v>
      </c>
      <c r="D108" s="109">
        <f>TRUNC((SUM(D103:D107)),2)</f>
        <v>0</v>
      </c>
    </row>
    <row r="109" spans="1:7">
      <c r="A109" s="24"/>
      <c r="D109" s="84"/>
    </row>
    <row r="110" spans="1:7">
      <c r="A110" s="140" t="s">
        <v>160</v>
      </c>
      <c r="B110" s="140"/>
      <c r="C110" s="140"/>
      <c r="D110" s="140"/>
      <c r="F110" s="146" t="s">
        <v>188</v>
      </c>
      <c r="G110" s="146"/>
    </row>
    <row r="111" spans="1:7">
      <c r="A111" s="24" t="s">
        <v>161</v>
      </c>
      <c r="B111" t="s">
        <v>162</v>
      </c>
      <c r="C111" s="24" t="s">
        <v>24</v>
      </c>
      <c r="D111" s="24" t="s">
        <v>5</v>
      </c>
      <c r="F111" s="119" t="s">
        <v>189</v>
      </c>
      <c r="G111" s="120"/>
    </row>
    <row r="112" spans="1:7">
      <c r="A112" s="24" t="s">
        <v>28</v>
      </c>
      <c r="B112" t="s">
        <v>163</v>
      </c>
      <c r="C112" s="112"/>
      <c r="D112" s="113">
        <f>TRUNC(($D$108*C112),2)</f>
        <v>0</v>
      </c>
      <c r="F112" s="121" t="s">
        <v>190</v>
      </c>
      <c r="G112" s="122"/>
    </row>
    <row r="113" spans="1:7">
      <c r="A113" s="24" t="s">
        <v>31</v>
      </c>
      <c r="B113" t="s">
        <v>45</v>
      </c>
      <c r="C113" s="112"/>
      <c r="D113" s="113">
        <f>TRUNC((D108+D112)*C113,2)</f>
        <v>0</v>
      </c>
      <c r="F113" s="119" t="s">
        <v>191</v>
      </c>
      <c r="G113" s="123"/>
    </row>
    <row r="114" spans="1:7">
      <c r="A114" s="24" t="s">
        <v>34</v>
      </c>
      <c r="B114" t="s">
        <v>164</v>
      </c>
      <c r="C114" s="112"/>
      <c r="D114" s="113">
        <f>SUM(D115:D117)</f>
        <v>0</v>
      </c>
      <c r="F114" s="121" t="s">
        <v>188</v>
      </c>
      <c r="G114" s="122"/>
    </row>
    <row r="115" spans="1:7">
      <c r="A115" s="24" t="s">
        <v>165</v>
      </c>
      <c r="B115" t="s">
        <v>46</v>
      </c>
      <c r="C115" s="112"/>
      <c r="D115" s="113">
        <f t="shared" ref="D115:D117" si="3">TRUNC(($G$114*C115),2)</f>
        <v>0</v>
      </c>
    </row>
    <row r="116" spans="1:7">
      <c r="A116" s="24" t="s">
        <v>166</v>
      </c>
      <c r="B116" t="s">
        <v>48</v>
      </c>
      <c r="C116" s="112"/>
      <c r="D116" s="113">
        <f t="shared" si="3"/>
        <v>0</v>
      </c>
    </row>
    <row r="117" spans="1:7">
      <c r="A117" s="24" t="s">
        <v>167</v>
      </c>
      <c r="B117" t="s">
        <v>50</v>
      </c>
      <c r="C117" s="112"/>
      <c r="D117" s="113">
        <f t="shared" si="3"/>
        <v>0</v>
      </c>
    </row>
    <row r="118" spans="1:7">
      <c r="A118" s="24" t="s">
        <v>44</v>
      </c>
      <c r="C118" s="124"/>
      <c r="D118" s="84">
        <f>TRUNC(SUM(D112:D114),2)</f>
        <v>0</v>
      </c>
    </row>
    <row r="119" spans="1:7">
      <c r="A119" s="24"/>
      <c r="C119" s="124"/>
      <c r="D119" s="84"/>
    </row>
    <row r="120" spans="1:7">
      <c r="A120" s="140" t="s">
        <v>168</v>
      </c>
      <c r="B120" s="140"/>
      <c r="C120" s="140"/>
      <c r="D120" s="140"/>
    </row>
    <row r="121" spans="1:7">
      <c r="A121" s="24" t="s">
        <v>2</v>
      </c>
      <c r="B121" s="24" t="s">
        <v>169</v>
      </c>
      <c r="C121" s="24" t="s">
        <v>95</v>
      </c>
      <c r="D121" s="24" t="s">
        <v>5</v>
      </c>
    </row>
    <row r="122" spans="1:7">
      <c r="A122" s="24" t="s">
        <v>28</v>
      </c>
      <c r="B122" t="s">
        <v>22</v>
      </c>
      <c r="D122" s="84">
        <f>D17</f>
        <v>0</v>
      </c>
    </row>
    <row r="123" spans="1:7">
      <c r="A123" s="24" t="s">
        <v>31</v>
      </c>
      <c r="B123" t="s">
        <v>47</v>
      </c>
      <c r="D123" s="84">
        <f>D56</f>
        <v>0</v>
      </c>
    </row>
    <row r="124" spans="1:7">
      <c r="A124" s="24" t="s">
        <v>34</v>
      </c>
      <c r="B124" t="s">
        <v>101</v>
      </c>
      <c r="D124" s="84">
        <f>D66</f>
        <v>0</v>
      </c>
    </row>
    <row r="125" spans="1:7">
      <c r="A125" s="24" t="s">
        <v>36</v>
      </c>
      <c r="B125" t="s">
        <v>170</v>
      </c>
      <c r="D125" s="84">
        <f>D93</f>
        <v>0</v>
      </c>
    </row>
    <row r="126" spans="1:7">
      <c r="A126" s="24" t="s">
        <v>39</v>
      </c>
      <c r="B126" t="s">
        <v>148</v>
      </c>
      <c r="D126" s="84">
        <f>D101</f>
        <v>0</v>
      </c>
    </row>
    <row r="127" spans="1:7">
      <c r="A127" t="s">
        <v>171</v>
      </c>
      <c r="D127" s="84">
        <f>TRUNC(SUM(D122:D126),2)</f>
        <v>0</v>
      </c>
    </row>
    <row r="128" spans="1:7">
      <c r="A128" s="24" t="s">
        <v>41</v>
      </c>
      <c r="B128" t="s">
        <v>160</v>
      </c>
      <c r="D128" s="84">
        <f>D118</f>
        <v>0</v>
      </c>
    </row>
    <row r="129" spans="1:4">
      <c r="A129" s="125" t="s">
        <v>172</v>
      </c>
      <c r="B129" s="48"/>
      <c r="C129" s="48"/>
      <c r="D129" s="126">
        <f>TRUNC((SUM(D122:D126)+D128),2)</f>
        <v>0</v>
      </c>
    </row>
  </sheetData>
  <mergeCells count="20">
    <mergeCell ref="A1:D1"/>
    <mergeCell ref="F1:G1"/>
    <mergeCell ref="A9:D9"/>
    <mergeCell ref="A19:D19"/>
    <mergeCell ref="A20:D20"/>
    <mergeCell ref="F110:G110"/>
    <mergeCell ref="A120:D120"/>
    <mergeCell ref="A26:B28"/>
    <mergeCell ref="A68:B71"/>
    <mergeCell ref="A103:B108"/>
    <mergeCell ref="A74:D74"/>
    <mergeCell ref="A84:D84"/>
    <mergeCell ref="A89:D89"/>
    <mergeCell ref="A95:D95"/>
    <mergeCell ref="A110:D110"/>
    <mergeCell ref="A30:D30"/>
    <mergeCell ref="A42:D42"/>
    <mergeCell ref="A51:D51"/>
    <mergeCell ref="A58:D58"/>
    <mergeCell ref="A73:D73"/>
  </mergeCells>
  <pageMargins left="0.75" right="0.75" top="1" bottom="1" header="0.5" footer="0.5"/>
  <legacyDrawing r:id="rId1"/>
  <tableParts count="14">
    <tablePart r:id="rId2"/>
    <tablePart r:id="rId3"/>
    <tablePart r:id="rId4"/>
    <tablePart r:id="rId5"/>
    <tablePart r:id="rId6"/>
    <tablePart r:id="rId7"/>
    <tablePart r:id="rId8"/>
    <tablePart r:id="rId9"/>
    <tablePart r:id="rId10"/>
    <tablePart r:id="rId11"/>
    <tablePart r:id="rId12"/>
    <tablePart r:id="rId13"/>
    <tablePart r:id="rId14"/>
    <tablePart r:id="rId1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showGridLines="0" topLeftCell="A24" workbookViewId="0">
      <selection activeCell="F26" sqref="F26:F29"/>
    </sheetView>
  </sheetViews>
  <sheetFormatPr defaultColWidth="9" defaultRowHeight="15"/>
  <cols>
    <col min="1" max="1" width="7.28515625" customWidth="1"/>
    <col min="2" max="2" width="14.5703125" customWidth="1"/>
    <col min="3" max="3" width="49.5703125" customWidth="1"/>
    <col min="4" max="4" width="12.28515625" customWidth="1"/>
    <col min="5" max="5" width="8.5703125" customWidth="1"/>
    <col min="6" max="6" width="15.140625" customWidth="1"/>
    <col min="7" max="7" width="13.7109375" customWidth="1"/>
  </cols>
  <sheetData>
    <row r="1" spans="1:8">
      <c r="A1" s="144" t="s">
        <v>195</v>
      </c>
      <c r="B1" s="144"/>
      <c r="C1" s="144"/>
      <c r="D1" s="144"/>
      <c r="E1" s="144"/>
      <c r="F1" s="144"/>
      <c r="G1" s="144"/>
    </row>
    <row r="2" spans="1:8" ht="60">
      <c r="A2" s="38" t="s">
        <v>2</v>
      </c>
      <c r="B2" s="38" t="s">
        <v>196</v>
      </c>
      <c r="C2" s="38" t="s">
        <v>3</v>
      </c>
      <c r="D2" s="67" t="s">
        <v>197</v>
      </c>
      <c r="E2" s="38" t="s">
        <v>198</v>
      </c>
      <c r="F2" s="38" t="s">
        <v>199</v>
      </c>
      <c r="G2" s="38" t="s">
        <v>200</v>
      </c>
      <c r="H2" s="38" t="s">
        <v>201</v>
      </c>
    </row>
    <row r="3" spans="1:8" ht="75">
      <c r="A3" s="38">
        <v>1</v>
      </c>
      <c r="B3" s="78" t="s">
        <v>202</v>
      </c>
      <c r="C3" s="79" t="s">
        <v>203</v>
      </c>
      <c r="D3" s="67" t="s">
        <v>204</v>
      </c>
      <c r="E3" s="80">
        <v>28.76</v>
      </c>
      <c r="F3" s="81">
        <v>2</v>
      </c>
      <c r="G3" s="82">
        <v>57.52</v>
      </c>
      <c r="H3" s="82">
        <f>TRUNC(G3/12,2)</f>
        <v>4.79</v>
      </c>
    </row>
    <row r="4" spans="1:8" ht="38.25">
      <c r="A4" s="38">
        <v>2</v>
      </c>
      <c r="B4" s="78" t="s">
        <v>205</v>
      </c>
      <c r="C4" s="83" t="s">
        <v>206</v>
      </c>
      <c r="D4" s="67" t="s">
        <v>204</v>
      </c>
      <c r="E4" s="80">
        <v>48.47</v>
      </c>
      <c r="F4" s="81">
        <v>2</v>
      </c>
      <c r="G4" s="82">
        <v>96.94</v>
      </c>
      <c r="H4" s="82">
        <v>8.07</v>
      </c>
    </row>
    <row r="5" spans="1:8" ht="25.5">
      <c r="A5" s="38">
        <v>3</v>
      </c>
      <c r="B5" s="78" t="s">
        <v>207</v>
      </c>
      <c r="C5" s="83" t="s">
        <v>208</v>
      </c>
      <c r="D5" s="67" t="s">
        <v>209</v>
      </c>
      <c r="E5" s="80">
        <v>9.18</v>
      </c>
      <c r="F5" s="81">
        <v>4</v>
      </c>
      <c r="G5" s="82">
        <v>36.72</v>
      </c>
      <c r="H5" s="82">
        <f>TRUNC(G5/12,2)</f>
        <v>3.06</v>
      </c>
    </row>
    <row r="6" spans="1:8" ht="51">
      <c r="A6" s="38">
        <v>4</v>
      </c>
      <c r="B6" s="38" t="s">
        <v>210</v>
      </c>
      <c r="C6" s="83" t="s">
        <v>211</v>
      </c>
      <c r="D6" s="67" t="s">
        <v>209</v>
      </c>
      <c r="E6" s="80">
        <v>93.23</v>
      </c>
      <c r="F6" s="81">
        <v>2</v>
      </c>
      <c r="G6" s="82">
        <f>TRUNC(F6*E6,2)</f>
        <v>186.46</v>
      </c>
      <c r="H6" s="82">
        <f>TRUNC(G6/12,2)</f>
        <v>15.53</v>
      </c>
    </row>
    <row r="7" spans="1:8">
      <c r="A7" t="s">
        <v>44</v>
      </c>
      <c r="H7" s="84">
        <f>TRUNC(SUM(H3:H6),2)</f>
        <v>31.45</v>
      </c>
    </row>
    <row r="8" spans="1:8">
      <c r="A8" s="144" t="s">
        <v>212</v>
      </c>
      <c r="B8" s="144"/>
      <c r="C8" s="144"/>
      <c r="D8" s="144"/>
      <c r="E8" s="144"/>
      <c r="F8" s="144"/>
      <c r="G8" s="144"/>
    </row>
    <row r="9" spans="1:8" ht="33.75" customHeight="1">
      <c r="A9" s="38" t="s">
        <v>2</v>
      </c>
      <c r="B9" s="38" t="s">
        <v>196</v>
      </c>
      <c r="C9" s="38" t="s">
        <v>3</v>
      </c>
      <c r="D9" s="67" t="s">
        <v>213</v>
      </c>
      <c r="E9" s="38" t="s">
        <v>198</v>
      </c>
      <c r="F9" s="38" t="s">
        <v>199</v>
      </c>
      <c r="G9" s="38" t="s">
        <v>200</v>
      </c>
      <c r="H9" s="38" t="s">
        <v>201</v>
      </c>
    </row>
    <row r="10" spans="1:8" ht="45">
      <c r="A10" s="38">
        <v>1</v>
      </c>
      <c r="B10" s="38" t="s">
        <v>205</v>
      </c>
      <c r="C10" s="85" t="s">
        <v>214</v>
      </c>
      <c r="D10" s="67" t="s">
        <v>204</v>
      </c>
      <c r="E10" s="86">
        <v>32.18</v>
      </c>
      <c r="F10" s="87">
        <v>4</v>
      </c>
      <c r="G10" s="82">
        <f>TRUNC(F10*E10,2)</f>
        <v>128.72</v>
      </c>
      <c r="H10" s="82">
        <f>TRUNC(G10/12,2)</f>
        <v>10.72</v>
      </c>
    </row>
    <row r="11" spans="1:8" ht="75">
      <c r="A11" s="38">
        <v>2</v>
      </c>
      <c r="B11" s="38" t="s">
        <v>202</v>
      </c>
      <c r="C11" s="85" t="s">
        <v>203</v>
      </c>
      <c r="D11" s="67" t="s">
        <v>204</v>
      </c>
      <c r="E11" s="86">
        <v>18.97</v>
      </c>
      <c r="F11" s="87">
        <v>4</v>
      </c>
      <c r="G11" s="82">
        <f>TRUNC(F11*E11,2)</f>
        <v>75.88</v>
      </c>
      <c r="H11" s="82">
        <f>TRUNC(G11/12,2)</f>
        <v>6.32</v>
      </c>
    </row>
    <row r="12" spans="1:8" ht="30">
      <c r="A12" s="38">
        <v>3</v>
      </c>
      <c r="B12" s="38" t="s">
        <v>207</v>
      </c>
      <c r="C12" s="85" t="s">
        <v>208</v>
      </c>
      <c r="D12" s="67" t="s">
        <v>209</v>
      </c>
      <c r="E12" s="86">
        <v>9.18</v>
      </c>
      <c r="F12" s="87">
        <v>4</v>
      </c>
      <c r="G12" s="82">
        <f>TRUNC(F12*E12,2)</f>
        <v>36.72</v>
      </c>
      <c r="H12" s="82">
        <f>TRUNC(G12/12,2)</f>
        <v>3.06</v>
      </c>
    </row>
    <row r="13" spans="1:8" ht="105">
      <c r="A13" s="38">
        <v>4</v>
      </c>
      <c r="B13" s="38" t="s">
        <v>210</v>
      </c>
      <c r="C13" s="85" t="s">
        <v>215</v>
      </c>
      <c r="D13" s="67" t="s">
        <v>209</v>
      </c>
      <c r="E13" s="86">
        <v>69.69</v>
      </c>
      <c r="F13" s="87">
        <v>2</v>
      </c>
      <c r="G13" s="82">
        <f>TRUNC(F13*E13,2)</f>
        <v>139.38</v>
      </c>
      <c r="H13" s="82">
        <f>TRUNC(G13/12,2)</f>
        <v>11.61</v>
      </c>
    </row>
    <row r="14" spans="1:8">
      <c r="A14" s="67" t="s">
        <v>44</v>
      </c>
      <c r="B14" s="67"/>
      <c r="C14" s="67"/>
      <c r="E14" s="67"/>
      <c r="F14" s="67"/>
      <c r="G14" s="67"/>
      <c r="H14" s="42">
        <f>TRUNC(SUM(H10:H13),2)</f>
        <v>31.71</v>
      </c>
    </row>
    <row r="16" spans="1:8" hidden="1">
      <c r="A16" s="144" t="s">
        <v>195</v>
      </c>
      <c r="B16" s="144"/>
      <c r="C16" s="144"/>
      <c r="D16" s="144"/>
      <c r="E16" s="144"/>
      <c r="F16" s="144"/>
      <c r="G16" s="144"/>
    </row>
    <row r="17" spans="1:8" ht="30" hidden="1">
      <c r="A17" s="23" t="s">
        <v>2</v>
      </c>
      <c r="B17" s="23" t="s">
        <v>196</v>
      </c>
      <c r="C17" s="23" t="s">
        <v>3</v>
      </c>
      <c r="D17" s="23" t="s">
        <v>198</v>
      </c>
      <c r="E17" s="23" t="s">
        <v>199</v>
      </c>
      <c r="F17" s="23" t="s">
        <v>200</v>
      </c>
      <c r="G17" s="23" t="s">
        <v>201</v>
      </c>
    </row>
    <row r="18" spans="1:8" hidden="1">
      <c r="A18" s="88">
        <v>1</v>
      </c>
      <c r="B18" s="23" t="s">
        <v>205</v>
      </c>
      <c r="C18" s="23" t="s">
        <v>216</v>
      </c>
      <c r="D18" s="89">
        <v>32.18</v>
      </c>
      <c r="E18" s="90">
        <v>4</v>
      </c>
      <c r="F18" s="91">
        <f>Table4344[[#This Row],[Valor Médio Unitário (R$)]]*Table4344[[#This Row],[Quant. Anual]]</f>
        <v>128.72</v>
      </c>
      <c r="G18" s="91">
        <f>Table4344[[#This Row],[Valor Anual/ Empregado (R$)]]/12</f>
        <v>10.726666666666667</v>
      </c>
    </row>
    <row r="19" spans="1:8" hidden="1">
      <c r="A19" s="88">
        <v>2</v>
      </c>
      <c r="B19" s="23" t="s">
        <v>202</v>
      </c>
      <c r="C19" s="23" t="s">
        <v>217</v>
      </c>
      <c r="D19" s="89">
        <v>18.97</v>
      </c>
      <c r="E19" s="90">
        <v>4</v>
      </c>
      <c r="F19" s="91">
        <f>Table4344[[#This Row],[Valor Médio Unitário (R$)]]*Table4344[[#This Row],[Quant. Anual]]</f>
        <v>75.88</v>
      </c>
      <c r="G19" s="91">
        <f>Table4344[[#This Row],[Valor Anual/ Empregado (R$)]]/12</f>
        <v>6.3233333333333333</v>
      </c>
    </row>
    <row r="20" spans="1:8" hidden="1">
      <c r="A20" s="88">
        <v>3</v>
      </c>
      <c r="B20" s="23" t="s">
        <v>207</v>
      </c>
      <c r="C20" s="23" t="s">
        <v>218</v>
      </c>
      <c r="D20" s="89">
        <v>9.18</v>
      </c>
      <c r="E20" s="90">
        <v>4</v>
      </c>
      <c r="F20" s="91">
        <f>Table4344[[#This Row],[Valor Médio Unitário (R$)]]*Table4344[[#This Row],[Quant. Anual]]</f>
        <v>36.72</v>
      </c>
      <c r="G20" s="91">
        <f>Table4344[[#This Row],[Valor Anual/ Empregado (R$)]]/12</f>
        <v>3.06</v>
      </c>
    </row>
    <row r="21" spans="1:8" ht="30" hidden="1">
      <c r="A21" s="88">
        <v>4</v>
      </c>
      <c r="B21" s="23" t="s">
        <v>210</v>
      </c>
      <c r="C21" s="23" t="s">
        <v>219</v>
      </c>
      <c r="D21" s="89">
        <v>69.69</v>
      </c>
      <c r="E21" s="90">
        <v>2</v>
      </c>
      <c r="F21" s="91">
        <f>Table4344[[#This Row],[Valor Médio Unitário (R$)]]*Table4344[[#This Row],[Quant. Anual]]</f>
        <v>139.38</v>
      </c>
      <c r="G21" s="91">
        <f>Table4344[[#This Row],[Valor Anual/ Empregado (R$)]]/12</f>
        <v>11.615</v>
      </c>
    </row>
    <row r="22" spans="1:8" hidden="1">
      <c r="A22" t="s">
        <v>44</v>
      </c>
      <c r="G22" s="84">
        <f>SUBTOTAL(109,Table4344[Valor Mensal/ Empregado])</f>
        <v>0</v>
      </c>
    </row>
    <row r="23" spans="1:8" hidden="1"/>
    <row r="24" spans="1:8">
      <c r="A24" s="144" t="s">
        <v>220</v>
      </c>
      <c r="B24" s="144"/>
      <c r="C24" s="144"/>
      <c r="D24" s="144"/>
      <c r="E24" s="144"/>
      <c r="F24" s="144"/>
      <c r="G24" s="144"/>
    </row>
    <row r="25" spans="1:8" ht="35.25" customHeight="1">
      <c r="A25" s="38" t="s">
        <v>2</v>
      </c>
      <c r="B25" s="38" t="s">
        <v>3</v>
      </c>
      <c r="C25" s="38" t="s">
        <v>197</v>
      </c>
      <c r="D25" s="39" t="s">
        <v>221</v>
      </c>
      <c r="E25" s="38" t="s">
        <v>198</v>
      </c>
      <c r="F25" s="38" t="s">
        <v>199</v>
      </c>
      <c r="G25" s="38" t="s">
        <v>222</v>
      </c>
      <c r="H25" s="38" t="s">
        <v>223</v>
      </c>
    </row>
    <row r="26" spans="1:8">
      <c r="A26" s="67">
        <v>1</v>
      </c>
      <c r="B26" s="67" t="s">
        <v>224</v>
      </c>
      <c r="C26" s="92" t="s">
        <v>225</v>
      </c>
      <c r="D26" s="67" t="s">
        <v>204</v>
      </c>
      <c r="E26" s="93"/>
      <c r="F26" s="94"/>
      <c r="G26" s="84">
        <f>TRUNC(F26*E26,2)</f>
        <v>0</v>
      </c>
      <c r="H26" s="84">
        <f>TRUNC(G26/12,2)</f>
        <v>0</v>
      </c>
    </row>
    <row r="27" spans="1:8">
      <c r="A27" s="67">
        <v>2</v>
      </c>
      <c r="B27" s="67" t="s">
        <v>226</v>
      </c>
      <c r="C27" s="92" t="s">
        <v>227</v>
      </c>
      <c r="D27" s="67" t="s">
        <v>204</v>
      </c>
      <c r="E27" s="93"/>
      <c r="F27" s="94"/>
      <c r="G27" s="84">
        <f>TRUNC(F27*E27,2)</f>
        <v>0</v>
      </c>
      <c r="H27" s="84">
        <f>TRUNC(G27/12,2)</f>
        <v>0</v>
      </c>
    </row>
    <row r="28" spans="1:8">
      <c r="A28" s="67">
        <v>3</v>
      </c>
      <c r="B28" s="67" t="s">
        <v>228</v>
      </c>
      <c r="C28" s="92" t="s">
        <v>229</v>
      </c>
      <c r="D28" s="67" t="s">
        <v>204</v>
      </c>
      <c r="E28" s="93"/>
      <c r="F28" s="94"/>
      <c r="G28" s="84">
        <f>TRUNC(F28*E28,2)</f>
        <v>0</v>
      </c>
      <c r="H28" s="84">
        <f>TRUNC(G28/12,2)</f>
        <v>0</v>
      </c>
    </row>
    <row r="29" spans="1:8" ht="45">
      <c r="A29" s="67">
        <v>4</v>
      </c>
      <c r="B29" s="67" t="s">
        <v>230</v>
      </c>
      <c r="C29" s="95" t="s">
        <v>231</v>
      </c>
      <c r="D29" s="67" t="s">
        <v>204</v>
      </c>
      <c r="E29" s="96"/>
      <c r="F29" s="97"/>
      <c r="G29" s="42">
        <f>TRUNC(F29*E29,2)</f>
        <v>0</v>
      </c>
      <c r="H29" s="42">
        <f>TRUNC(G29/12,2)</f>
        <v>0</v>
      </c>
    </row>
    <row r="30" spans="1:8">
      <c r="A30" t="s">
        <v>44</v>
      </c>
      <c r="C30" s="24"/>
      <c r="E30" s="24"/>
      <c r="F30" s="24"/>
      <c r="G30" s="24"/>
      <c r="H30" s="84">
        <f>TRUNC(SUM(H26:H29),2)</f>
        <v>0</v>
      </c>
    </row>
  </sheetData>
  <mergeCells count="4">
    <mergeCell ref="A1:G1"/>
    <mergeCell ref="A8:G8"/>
    <mergeCell ref="A16:G16"/>
    <mergeCell ref="A24:G24"/>
  </mergeCells>
  <pageMargins left="0.7" right="0.7" top="0.75" bottom="0.75" header="0.3" footer="0.3"/>
  <pageSetup paperSize="9" orientation="portrait"/>
  <tableParts count="4">
    <tablePart r:id="rId1"/>
    <tablePart r:id="rId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showGridLines="0" workbookViewId="0">
      <selection activeCell="E19" sqref="E19:E20"/>
    </sheetView>
  </sheetViews>
  <sheetFormatPr defaultColWidth="9" defaultRowHeight="15"/>
  <cols>
    <col min="1" max="1" width="7.5703125" customWidth="1"/>
    <col min="2" max="2" width="63.5703125" customWidth="1"/>
    <col min="3" max="3" width="10.5703125" customWidth="1"/>
    <col min="4" max="4" width="22.42578125" customWidth="1"/>
    <col min="5" max="5" width="9.42578125" customWidth="1"/>
    <col min="6" max="6" width="17.140625" customWidth="1"/>
  </cols>
  <sheetData>
    <row r="1" spans="1:6">
      <c r="A1" s="144" t="s">
        <v>232</v>
      </c>
      <c r="B1" s="144"/>
      <c r="C1" s="144"/>
      <c r="D1" s="144"/>
      <c r="E1" s="144"/>
      <c r="F1" s="144"/>
    </row>
    <row r="2" spans="1:6">
      <c r="A2" s="24" t="s">
        <v>2</v>
      </c>
      <c r="B2" s="24" t="s">
        <v>3</v>
      </c>
      <c r="C2" s="24" t="s">
        <v>197</v>
      </c>
      <c r="D2" s="24" t="s">
        <v>233</v>
      </c>
      <c r="E2" s="24" t="s">
        <v>234</v>
      </c>
      <c r="F2" s="24" t="s">
        <v>235</v>
      </c>
    </row>
    <row r="3" spans="1:6" ht="30">
      <c r="A3" s="67">
        <v>1</v>
      </c>
      <c r="B3" s="68" t="s">
        <v>236</v>
      </c>
      <c r="C3" s="69" t="s">
        <v>204</v>
      </c>
      <c r="D3" s="70"/>
      <c r="E3" s="39"/>
      <c r="F3" s="71"/>
    </row>
    <row r="4" spans="1:6" ht="30">
      <c r="A4" s="67">
        <v>2</v>
      </c>
      <c r="B4" s="68" t="s">
        <v>237</v>
      </c>
      <c r="C4" s="69" t="s">
        <v>204</v>
      </c>
      <c r="D4" s="70"/>
      <c r="E4" s="39"/>
      <c r="F4" s="71"/>
    </row>
    <row r="5" spans="1:6" ht="30">
      <c r="A5" s="67">
        <v>3</v>
      </c>
      <c r="B5" s="68" t="s">
        <v>238</v>
      </c>
      <c r="C5" s="69" t="s">
        <v>204</v>
      </c>
      <c r="D5" s="70"/>
      <c r="E5" s="39"/>
      <c r="F5" s="71"/>
    </row>
    <row r="6" spans="1:6">
      <c r="A6" s="67">
        <v>4</v>
      </c>
      <c r="B6" s="68" t="s">
        <v>239</v>
      </c>
      <c r="C6" s="69" t="s">
        <v>204</v>
      </c>
      <c r="D6" s="70"/>
      <c r="E6" s="39"/>
      <c r="F6" s="71"/>
    </row>
    <row r="7" spans="1:6">
      <c r="A7" s="67">
        <v>5</v>
      </c>
      <c r="B7" s="68" t="s">
        <v>240</v>
      </c>
      <c r="C7" s="69" t="s">
        <v>204</v>
      </c>
      <c r="D7" s="70"/>
      <c r="E7" s="39"/>
      <c r="F7" s="71"/>
    </row>
    <row r="8" spans="1:6">
      <c r="A8" s="67">
        <v>6</v>
      </c>
      <c r="B8" s="68" t="s">
        <v>241</v>
      </c>
      <c r="C8" s="69" t="s">
        <v>204</v>
      </c>
      <c r="D8" s="70"/>
      <c r="E8" s="39"/>
      <c r="F8" s="71"/>
    </row>
    <row r="9" spans="1:6">
      <c r="A9" s="67">
        <v>7</v>
      </c>
      <c r="B9" s="68" t="s">
        <v>242</v>
      </c>
      <c r="C9" s="69" t="s">
        <v>204</v>
      </c>
      <c r="D9" s="70"/>
      <c r="E9" s="39"/>
      <c r="F9" s="71"/>
    </row>
    <row r="10" spans="1:6">
      <c r="A10" s="67">
        <v>8</v>
      </c>
      <c r="B10" s="68" t="s">
        <v>243</v>
      </c>
      <c r="C10" s="69" t="s">
        <v>204</v>
      </c>
      <c r="D10" s="70"/>
      <c r="E10" s="39"/>
      <c r="F10" s="71"/>
    </row>
    <row r="11" spans="1:6">
      <c r="A11" s="67">
        <v>9</v>
      </c>
      <c r="B11" s="68" t="s">
        <v>244</v>
      </c>
      <c r="C11" s="69" t="s">
        <v>204</v>
      </c>
      <c r="D11" s="70"/>
      <c r="E11" s="39"/>
      <c r="F11" s="71"/>
    </row>
    <row r="12" spans="1:6" ht="90">
      <c r="A12" s="67">
        <v>10</v>
      </c>
      <c r="B12" s="68" t="s">
        <v>245</v>
      </c>
      <c r="C12" s="69" t="s">
        <v>204</v>
      </c>
      <c r="D12" s="70"/>
      <c r="E12" s="39"/>
      <c r="F12" s="71"/>
    </row>
    <row r="13" spans="1:6" ht="75">
      <c r="A13" s="67">
        <v>11</v>
      </c>
      <c r="B13" s="68" t="s">
        <v>246</v>
      </c>
      <c r="C13" s="69" t="s">
        <v>204</v>
      </c>
      <c r="D13" s="70"/>
      <c r="E13" s="39"/>
      <c r="F13" s="71"/>
    </row>
    <row r="14" spans="1:6">
      <c r="A14" s="67">
        <v>12</v>
      </c>
      <c r="B14" s="72" t="s">
        <v>247</v>
      </c>
      <c r="C14" s="69" t="s">
        <v>204</v>
      </c>
      <c r="D14" s="70"/>
      <c r="E14" s="39"/>
      <c r="F14" s="71"/>
    </row>
    <row r="15" spans="1:6" ht="45">
      <c r="A15" s="67">
        <v>13</v>
      </c>
      <c r="B15" s="40" t="s">
        <v>248</v>
      </c>
      <c r="C15" s="69" t="s">
        <v>204</v>
      </c>
      <c r="D15" s="70"/>
      <c r="E15" s="39"/>
      <c r="F15" s="71"/>
    </row>
    <row r="16" spans="1:6">
      <c r="A16" s="67">
        <v>14</v>
      </c>
      <c r="B16" s="68" t="s">
        <v>249</v>
      </c>
      <c r="C16" s="69" t="s">
        <v>204</v>
      </c>
      <c r="D16" s="70"/>
      <c r="E16" s="39"/>
      <c r="F16" s="71"/>
    </row>
    <row r="17" spans="1:6">
      <c r="A17" s="67">
        <v>15</v>
      </c>
      <c r="B17" s="68" t="s">
        <v>250</v>
      </c>
      <c r="C17" s="69" t="s">
        <v>204</v>
      </c>
      <c r="D17" s="70"/>
      <c r="E17" s="39"/>
      <c r="F17" s="71"/>
    </row>
    <row r="18" spans="1:6">
      <c r="A18" s="67">
        <v>16</v>
      </c>
      <c r="B18" s="68" t="s">
        <v>251</v>
      </c>
      <c r="C18" s="69" t="s">
        <v>204</v>
      </c>
      <c r="D18" s="70"/>
      <c r="E18" s="39"/>
      <c r="F18" s="71"/>
    </row>
    <row r="19" spans="1:6">
      <c r="A19" s="67">
        <v>17</v>
      </c>
      <c r="B19" s="68" t="s">
        <v>252</v>
      </c>
      <c r="C19" s="69" t="s">
        <v>204</v>
      </c>
      <c r="D19" s="70"/>
      <c r="E19" s="39"/>
      <c r="F19" s="71"/>
    </row>
    <row r="20" spans="1:6" ht="30">
      <c r="A20" s="67">
        <v>18</v>
      </c>
      <c r="B20" s="68" t="s">
        <v>253</v>
      </c>
      <c r="C20" s="69" t="s">
        <v>204</v>
      </c>
      <c r="D20" s="70"/>
      <c r="E20" s="39"/>
      <c r="F20" s="71"/>
    </row>
    <row r="21" spans="1:6" ht="45">
      <c r="A21" s="67">
        <v>19</v>
      </c>
      <c r="B21" s="68" t="s">
        <v>254</v>
      </c>
      <c r="C21" s="69" t="s">
        <v>204</v>
      </c>
      <c r="D21" s="70"/>
      <c r="E21" s="39"/>
      <c r="F21" s="71"/>
    </row>
    <row r="22" spans="1:6">
      <c r="A22" s="67">
        <v>20</v>
      </c>
      <c r="B22" s="68" t="s">
        <v>255</v>
      </c>
      <c r="C22" s="69" t="s">
        <v>204</v>
      </c>
      <c r="D22" s="70"/>
      <c r="E22" s="39"/>
      <c r="F22" s="71"/>
    </row>
    <row r="23" spans="1:6" ht="30">
      <c r="A23" s="67">
        <v>21</v>
      </c>
      <c r="B23" s="40" t="s">
        <v>256</v>
      </c>
      <c r="C23" s="69" t="s">
        <v>204</v>
      </c>
      <c r="D23" s="70"/>
      <c r="E23" s="39"/>
      <c r="F23" s="71"/>
    </row>
    <row r="24" spans="1:6" ht="30">
      <c r="A24" s="67">
        <v>22</v>
      </c>
      <c r="B24" s="40" t="s">
        <v>257</v>
      </c>
      <c r="C24" s="69" t="s">
        <v>204</v>
      </c>
      <c r="D24" s="70"/>
      <c r="E24" s="39"/>
      <c r="F24" s="71"/>
    </row>
    <row r="25" spans="1:6" ht="60">
      <c r="A25" s="67">
        <v>23</v>
      </c>
      <c r="B25" s="73" t="s">
        <v>258</v>
      </c>
      <c r="C25" s="69" t="s">
        <v>204</v>
      </c>
      <c r="D25" s="70"/>
      <c r="E25" s="39"/>
      <c r="F25" s="71"/>
    </row>
    <row r="26" spans="1:6" ht="60">
      <c r="A26" s="67">
        <v>24</v>
      </c>
      <c r="B26" s="73" t="s">
        <v>259</v>
      </c>
      <c r="C26" s="69" t="s">
        <v>204</v>
      </c>
      <c r="D26" s="70"/>
      <c r="E26" s="39"/>
      <c r="F26" s="71"/>
    </row>
    <row r="27" spans="1:6" ht="30">
      <c r="A27" s="67">
        <v>25</v>
      </c>
      <c r="B27" s="40" t="s">
        <v>260</v>
      </c>
      <c r="C27" s="69" t="s">
        <v>204</v>
      </c>
      <c r="D27" s="70"/>
      <c r="E27" s="39"/>
      <c r="F27" s="71"/>
    </row>
    <row r="28" spans="1:6" ht="45">
      <c r="A28" s="67">
        <v>26</v>
      </c>
      <c r="B28" s="40" t="s">
        <v>261</v>
      </c>
      <c r="C28" s="69" t="s">
        <v>204</v>
      </c>
      <c r="D28" s="70"/>
      <c r="E28" s="39"/>
      <c r="F28" s="71"/>
    </row>
    <row r="29" spans="1:6" ht="60">
      <c r="A29" s="67">
        <v>27</v>
      </c>
      <c r="B29" s="40" t="s">
        <v>262</v>
      </c>
      <c r="C29" s="69" t="s">
        <v>204</v>
      </c>
      <c r="D29" s="70"/>
      <c r="E29" s="39"/>
      <c r="F29" s="71"/>
    </row>
    <row r="30" spans="1:6" ht="45">
      <c r="A30" s="67">
        <v>28</v>
      </c>
      <c r="B30" s="40" t="s">
        <v>263</v>
      </c>
      <c r="C30" s="69" t="s">
        <v>204</v>
      </c>
      <c r="D30" s="70"/>
      <c r="E30" s="39"/>
      <c r="F30" s="71"/>
    </row>
    <row r="31" spans="1:6" ht="45">
      <c r="A31" s="67">
        <v>29</v>
      </c>
      <c r="B31" s="40" t="s">
        <v>264</v>
      </c>
      <c r="C31" s="69" t="s">
        <v>204</v>
      </c>
      <c r="D31" s="70"/>
      <c r="E31" s="39"/>
      <c r="F31" s="71"/>
    </row>
    <row r="32" spans="1:6" ht="30">
      <c r="A32" s="67">
        <v>30</v>
      </c>
      <c r="B32" s="74" t="s">
        <v>265</v>
      </c>
      <c r="C32" s="69" t="s">
        <v>204</v>
      </c>
      <c r="D32" s="70"/>
      <c r="E32" s="39"/>
      <c r="F32" s="71"/>
    </row>
    <row r="33" spans="1:7">
      <c r="A33" s="24" t="s">
        <v>44</v>
      </c>
      <c r="B33" s="23"/>
      <c r="C33" s="67"/>
      <c r="D33" s="67"/>
      <c r="E33" s="67"/>
      <c r="F33" s="42">
        <f>TRUNC(SUM(F3:F32),2)</f>
        <v>0</v>
      </c>
    </row>
    <row r="34" spans="1:7">
      <c r="A34" s="150" t="s">
        <v>266</v>
      </c>
      <c r="B34" s="151"/>
      <c r="C34" s="151"/>
      <c r="D34" s="151"/>
      <c r="E34" s="152"/>
      <c r="F34" s="75">
        <f>TRUNC(F33*0.5%,2)</f>
        <v>0</v>
      </c>
      <c r="G34" s="76"/>
    </row>
    <row r="35" spans="1:7">
      <c r="A35" s="153" t="s">
        <v>267</v>
      </c>
      <c r="B35" s="153"/>
      <c r="C35" s="153"/>
      <c r="D35" s="153"/>
      <c r="E35" s="153"/>
      <c r="F35" s="77">
        <f>TRUNC(F33*(1-0.2)/(12*8))</f>
        <v>0</v>
      </c>
      <c r="G35" s="76"/>
    </row>
    <row r="36" spans="1:7">
      <c r="A36" s="153" t="s">
        <v>268</v>
      </c>
      <c r="B36" s="153"/>
      <c r="C36" s="153"/>
      <c r="D36" s="153"/>
      <c r="E36" s="153"/>
      <c r="F36" s="77">
        <f>TRUNC(SUM(F34:F35))</f>
        <v>0</v>
      </c>
    </row>
    <row r="37" spans="1:7">
      <c r="A37" s="153" t="s">
        <v>269</v>
      </c>
      <c r="B37" s="153"/>
      <c r="C37" s="153"/>
      <c r="D37" s="153"/>
      <c r="E37" s="153"/>
      <c r="F37" s="77" t="e">
        <f>TRUNC(F36/'Tipos de Área e Produtivida'!M20,2)</f>
        <v>#DIV/0!</v>
      </c>
    </row>
    <row r="39" spans="1:7">
      <c r="A39" s="148" t="s">
        <v>270</v>
      </c>
      <c r="B39" s="149"/>
      <c r="C39" s="149"/>
      <c r="D39" s="149"/>
      <c r="E39" s="149"/>
      <c r="F39" s="149"/>
    </row>
    <row r="40" spans="1:7">
      <c r="A40" s="149"/>
      <c r="B40" s="149"/>
      <c r="C40" s="149"/>
      <c r="D40" s="149"/>
      <c r="E40" s="149"/>
      <c r="F40" s="149"/>
    </row>
    <row r="41" spans="1:7">
      <c r="A41" s="149"/>
      <c r="B41" s="149"/>
      <c r="C41" s="149"/>
      <c r="D41" s="149"/>
      <c r="E41" s="149"/>
      <c r="F41" s="149"/>
    </row>
    <row r="42" spans="1:7">
      <c r="A42" s="149"/>
      <c r="B42" s="149"/>
      <c r="C42" s="149"/>
      <c r="D42" s="149"/>
      <c r="E42" s="149"/>
      <c r="F42" s="149"/>
    </row>
    <row r="43" spans="1:7">
      <c r="A43" s="149"/>
      <c r="B43" s="149"/>
      <c r="C43" s="149"/>
      <c r="D43" s="149"/>
      <c r="E43" s="149"/>
      <c r="F43" s="149"/>
    </row>
    <row r="44" spans="1:7">
      <c r="A44" s="149"/>
      <c r="B44" s="149"/>
      <c r="C44" s="149"/>
      <c r="D44" s="149"/>
      <c r="E44" s="149"/>
      <c r="F44" s="149"/>
    </row>
    <row r="45" spans="1:7">
      <c r="A45" s="149"/>
      <c r="B45" s="149"/>
      <c r="C45" s="149"/>
      <c r="D45" s="149"/>
      <c r="E45" s="149"/>
      <c r="F45" s="149"/>
    </row>
    <row r="46" spans="1:7">
      <c r="A46" s="149"/>
      <c r="B46" s="149"/>
      <c r="C46" s="149"/>
      <c r="D46" s="149"/>
      <c r="E46" s="149"/>
      <c r="F46" s="149"/>
    </row>
    <row r="47" spans="1:7">
      <c r="A47" s="149"/>
      <c r="B47" s="149"/>
      <c r="C47" s="149"/>
      <c r="D47" s="149"/>
      <c r="E47" s="149"/>
      <c r="F47" s="149"/>
    </row>
    <row r="48" spans="1:7" ht="33" customHeight="1">
      <c r="A48" s="149"/>
      <c r="B48" s="149"/>
      <c r="C48" s="149"/>
      <c r="D48" s="149"/>
      <c r="E48" s="149"/>
      <c r="F48" s="149"/>
    </row>
  </sheetData>
  <mergeCells count="6">
    <mergeCell ref="A39:F48"/>
    <mergeCell ref="A1:F1"/>
    <mergeCell ref="A34:E34"/>
    <mergeCell ref="A35:E35"/>
    <mergeCell ref="A36:E36"/>
    <mergeCell ref="A37:E37"/>
  </mergeCells>
  <pageMargins left="0.7" right="0.7" top="0.75" bottom="0.75" header="0.3" footer="0.3"/>
  <pageSetup paperSize="9" orientation="portrait"/>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55"/>
  <sheetViews>
    <sheetView topLeftCell="A32" workbookViewId="0">
      <selection activeCell="C44" sqref="C44:F50"/>
    </sheetView>
  </sheetViews>
  <sheetFormatPr defaultColWidth="9" defaultRowHeight="15"/>
  <cols>
    <col min="1" max="1" width="8.7109375" style="24" customWidth="1"/>
    <col min="2" max="2" width="60.140625" customWidth="1"/>
    <col min="3" max="3" width="9.5703125" customWidth="1"/>
    <col min="4" max="4" width="10.28515625" customWidth="1"/>
    <col min="5" max="5" width="12" customWidth="1"/>
    <col min="6" max="6" width="12.42578125" customWidth="1"/>
  </cols>
  <sheetData>
    <row r="2" spans="1:6">
      <c r="A2" s="144" t="s">
        <v>271</v>
      </c>
      <c r="B2" s="144"/>
      <c r="C2" s="144"/>
      <c r="D2" s="144"/>
      <c r="E2" s="144"/>
      <c r="F2" s="144"/>
    </row>
    <row r="3" spans="1:6" ht="60">
      <c r="A3" s="38" t="s">
        <v>2</v>
      </c>
      <c r="B3" s="38" t="s">
        <v>3</v>
      </c>
      <c r="C3" s="38" t="s">
        <v>197</v>
      </c>
      <c r="D3" s="38" t="s">
        <v>272</v>
      </c>
      <c r="E3" s="38" t="s">
        <v>273</v>
      </c>
      <c r="F3" s="38" t="s">
        <v>223</v>
      </c>
    </row>
    <row r="4" spans="1:6" ht="45">
      <c r="A4" s="39">
        <v>1</v>
      </c>
      <c r="B4" s="40" t="s">
        <v>274</v>
      </c>
      <c r="C4" s="38"/>
      <c r="D4" s="41"/>
      <c r="E4" s="38"/>
      <c r="F4" s="42"/>
    </row>
    <row r="5" spans="1:6" ht="60">
      <c r="A5" s="39">
        <v>2</v>
      </c>
      <c r="B5" s="40" t="s">
        <v>276</v>
      </c>
      <c r="C5" s="38"/>
      <c r="D5" s="41"/>
      <c r="E5" s="38"/>
      <c r="F5" s="42"/>
    </row>
    <row r="6" spans="1:6" ht="45">
      <c r="A6" s="39">
        <v>3</v>
      </c>
      <c r="B6" s="40" t="s">
        <v>277</v>
      </c>
      <c r="C6" s="38"/>
      <c r="D6" s="41"/>
      <c r="E6" s="38"/>
      <c r="F6" s="42"/>
    </row>
    <row r="7" spans="1:6" ht="60">
      <c r="A7" s="39">
        <v>4</v>
      </c>
      <c r="B7" s="40" t="s">
        <v>278</v>
      </c>
      <c r="C7" s="38"/>
      <c r="D7" s="41"/>
      <c r="E7" s="38"/>
      <c r="F7" s="42"/>
    </row>
    <row r="8" spans="1:6" ht="75">
      <c r="A8" s="39">
        <v>5</v>
      </c>
      <c r="B8" s="40" t="s">
        <v>279</v>
      </c>
      <c r="C8" s="38" t="s">
        <v>275</v>
      </c>
      <c r="D8" s="41"/>
      <c r="E8" s="38"/>
      <c r="F8" s="42"/>
    </row>
    <row r="9" spans="1:6" ht="45">
      <c r="A9" s="39">
        <v>6</v>
      </c>
      <c r="B9" s="40" t="s">
        <v>280</v>
      </c>
      <c r="C9" s="38" t="s">
        <v>204</v>
      </c>
      <c r="D9" s="41"/>
      <c r="E9" s="38"/>
      <c r="F9" s="42"/>
    </row>
    <row r="10" spans="1:6" ht="30">
      <c r="A10" s="39">
        <v>7</v>
      </c>
      <c r="B10" s="40" t="s">
        <v>281</v>
      </c>
      <c r="C10" s="38"/>
      <c r="D10" s="41"/>
      <c r="E10" s="38"/>
      <c r="F10" s="42"/>
    </row>
    <row r="11" spans="1:6" ht="60">
      <c r="A11" s="39">
        <v>8</v>
      </c>
      <c r="B11" s="40" t="s">
        <v>282</v>
      </c>
      <c r="C11" s="38"/>
      <c r="D11" s="41"/>
      <c r="E11" s="38"/>
      <c r="F11" s="42"/>
    </row>
    <row r="12" spans="1:6" ht="30">
      <c r="A12" s="39">
        <v>9</v>
      </c>
      <c r="B12" s="40" t="s">
        <v>283</v>
      </c>
      <c r="C12" s="38"/>
      <c r="D12" s="41"/>
      <c r="E12" s="38"/>
      <c r="F12" s="42"/>
    </row>
    <row r="13" spans="1:6" ht="45">
      <c r="A13" s="39">
        <v>10</v>
      </c>
      <c r="B13" s="40" t="s">
        <v>284</v>
      </c>
      <c r="C13" s="38"/>
      <c r="D13" s="41"/>
      <c r="E13" s="38"/>
      <c r="F13" s="42"/>
    </row>
    <row r="14" spans="1:6" ht="60">
      <c r="A14" s="39">
        <v>11</v>
      </c>
      <c r="B14" s="40" t="s">
        <v>285</v>
      </c>
      <c r="C14" s="38"/>
      <c r="D14" s="41"/>
      <c r="E14" s="38"/>
      <c r="F14" s="42"/>
    </row>
    <row r="15" spans="1:6" ht="45">
      <c r="A15" s="39">
        <v>12</v>
      </c>
      <c r="B15" s="40" t="s">
        <v>286</v>
      </c>
      <c r="C15" s="38"/>
      <c r="D15" s="41"/>
      <c r="E15" s="38"/>
      <c r="F15" s="42"/>
    </row>
    <row r="16" spans="1:6" ht="45">
      <c r="A16" s="39">
        <v>13</v>
      </c>
      <c r="B16" s="40" t="s">
        <v>287</v>
      </c>
      <c r="C16" s="38"/>
      <c r="D16" s="41"/>
      <c r="E16" s="38"/>
      <c r="F16" s="42"/>
    </row>
    <row r="17" spans="1:6" ht="45">
      <c r="A17" s="39">
        <v>14</v>
      </c>
      <c r="B17" s="40" t="s">
        <v>288</v>
      </c>
      <c r="C17" s="38"/>
      <c r="D17" s="41"/>
      <c r="E17" s="38"/>
      <c r="F17" s="42"/>
    </row>
    <row r="18" spans="1:6" ht="45">
      <c r="A18" s="39">
        <v>15</v>
      </c>
      <c r="B18" s="40" t="s">
        <v>289</v>
      </c>
      <c r="C18" s="38"/>
      <c r="D18" s="41"/>
      <c r="E18" s="38"/>
      <c r="F18" s="42"/>
    </row>
    <row r="19" spans="1:6" ht="30">
      <c r="A19" s="39">
        <v>16</v>
      </c>
      <c r="B19" s="40" t="s">
        <v>290</v>
      </c>
      <c r="C19" s="38"/>
      <c r="D19" s="41"/>
      <c r="E19" s="38"/>
      <c r="F19" s="42"/>
    </row>
    <row r="20" spans="1:6" ht="45">
      <c r="A20" s="39">
        <v>17</v>
      </c>
      <c r="B20" s="40" t="s">
        <v>291</v>
      </c>
      <c r="C20" s="38"/>
      <c r="D20" s="41"/>
      <c r="E20" s="38"/>
      <c r="F20" s="42"/>
    </row>
    <row r="21" spans="1:6" ht="45">
      <c r="A21" s="39">
        <v>18</v>
      </c>
      <c r="B21" s="40" t="s">
        <v>292</v>
      </c>
      <c r="C21" s="38"/>
      <c r="D21" s="41"/>
      <c r="E21" s="38"/>
      <c r="F21" s="42"/>
    </row>
    <row r="22" spans="1:6" ht="45">
      <c r="A22" s="39">
        <v>19</v>
      </c>
      <c r="B22" s="40" t="s">
        <v>294</v>
      </c>
      <c r="C22" s="38"/>
      <c r="D22" s="41"/>
      <c r="E22" s="38"/>
      <c r="F22" s="42"/>
    </row>
    <row r="23" spans="1:6" ht="45">
      <c r="A23" s="39">
        <v>20</v>
      </c>
      <c r="B23" s="40" t="s">
        <v>295</v>
      </c>
      <c r="C23" s="38" t="s">
        <v>293</v>
      </c>
      <c r="D23" s="41"/>
      <c r="E23" s="38"/>
      <c r="F23" s="42"/>
    </row>
    <row r="24" spans="1:6" ht="45">
      <c r="A24" s="39">
        <v>21</v>
      </c>
      <c r="B24" s="40" t="s">
        <v>296</v>
      </c>
      <c r="C24" s="38" t="s">
        <v>204</v>
      </c>
      <c r="D24" s="41"/>
      <c r="E24" s="38"/>
      <c r="F24" s="42"/>
    </row>
    <row r="25" spans="1:6" ht="60">
      <c r="A25" s="39">
        <v>22</v>
      </c>
      <c r="B25" s="40" t="s">
        <v>297</v>
      </c>
      <c r="C25" s="38" t="s">
        <v>204</v>
      </c>
      <c r="D25" s="41"/>
      <c r="E25" s="38"/>
      <c r="F25" s="42"/>
    </row>
    <row r="26" spans="1:6" ht="30">
      <c r="A26" s="39">
        <v>23</v>
      </c>
      <c r="B26" s="40" t="s">
        <v>298</v>
      </c>
      <c r="C26" s="38" t="s">
        <v>204</v>
      </c>
      <c r="D26" s="41"/>
      <c r="E26" s="38"/>
      <c r="F26" s="42"/>
    </row>
    <row r="27" spans="1:6" ht="28.5">
      <c r="A27" s="39">
        <v>24</v>
      </c>
      <c r="B27" s="43" t="s">
        <v>299</v>
      </c>
      <c r="C27" s="38" t="s">
        <v>275</v>
      </c>
      <c r="D27" s="41"/>
      <c r="E27" s="38"/>
      <c r="F27" s="42"/>
    </row>
    <row r="28" spans="1:6" ht="30">
      <c r="A28" s="39">
        <v>25</v>
      </c>
      <c r="B28" s="40" t="s">
        <v>300</v>
      </c>
      <c r="C28" s="38" t="s">
        <v>275</v>
      </c>
      <c r="D28" s="41"/>
      <c r="E28" s="38"/>
      <c r="F28" s="42"/>
    </row>
    <row r="29" spans="1:6" ht="28.5">
      <c r="A29" s="39">
        <v>26</v>
      </c>
      <c r="B29" s="43" t="s">
        <v>301</v>
      </c>
      <c r="C29" s="38" t="s">
        <v>275</v>
      </c>
      <c r="D29" s="41"/>
      <c r="E29" s="38"/>
      <c r="F29" s="42"/>
    </row>
    <row r="30" spans="1:6">
      <c r="A30" s="44" t="s">
        <v>44</v>
      </c>
      <c r="B30" s="44"/>
      <c r="C30" s="44"/>
      <c r="D30" s="44"/>
      <c r="E30" s="44"/>
      <c r="F30" s="45">
        <f>TRUNC(SUM(F4:F29),2)</f>
        <v>0</v>
      </c>
    </row>
    <row r="31" spans="1:6">
      <c r="A31" s="46"/>
      <c r="B31" s="47" t="s">
        <v>302</v>
      </c>
      <c r="C31" s="48"/>
      <c r="D31" s="48"/>
      <c r="E31" s="48"/>
      <c r="F31" s="49" t="e">
        <f>TRUNC(F30/'Tipos de Área e Produtivida'!M20,2)</f>
        <v>#DIV/0!</v>
      </c>
    </row>
    <row r="32" spans="1:6">
      <c r="A32" s="50"/>
      <c r="B32" s="51"/>
      <c r="C32" s="52"/>
      <c r="D32" s="52"/>
      <c r="E32" s="52"/>
      <c r="F32" s="52"/>
    </row>
    <row r="33" spans="1:6">
      <c r="A33" s="53"/>
      <c r="B33" s="54" t="s">
        <v>303</v>
      </c>
      <c r="C33" s="53"/>
      <c r="D33" s="53"/>
      <c r="E33" s="53"/>
      <c r="F33" s="53"/>
    </row>
    <row r="34" spans="1:6" ht="60">
      <c r="A34" s="36" t="s">
        <v>2</v>
      </c>
      <c r="B34" s="36" t="s">
        <v>3</v>
      </c>
      <c r="C34" s="36" t="s">
        <v>197</v>
      </c>
      <c r="D34" s="36" t="s">
        <v>272</v>
      </c>
      <c r="E34" s="36" t="s">
        <v>304</v>
      </c>
      <c r="F34" s="36" t="s">
        <v>305</v>
      </c>
    </row>
    <row r="35" spans="1:6" ht="45">
      <c r="A35" s="39">
        <v>27</v>
      </c>
      <c r="B35" s="40" t="s">
        <v>306</v>
      </c>
      <c r="C35" s="42"/>
      <c r="D35" s="41"/>
      <c r="E35" s="38"/>
      <c r="F35" s="42"/>
    </row>
    <row r="36" spans="1:6" ht="45">
      <c r="A36" s="39">
        <v>28</v>
      </c>
      <c r="B36" s="40" t="s">
        <v>307</v>
      </c>
      <c r="C36" s="55"/>
      <c r="D36" s="41"/>
      <c r="E36" s="38"/>
      <c r="F36" s="42"/>
    </row>
    <row r="37" spans="1:6">
      <c r="A37" s="39">
        <v>29</v>
      </c>
      <c r="B37" s="40" t="s">
        <v>308</v>
      </c>
      <c r="C37" s="55"/>
      <c r="D37" s="41"/>
      <c r="E37" s="38"/>
      <c r="F37" s="42"/>
    </row>
    <row r="38" spans="1:6">
      <c r="A38" s="39">
        <v>30</v>
      </c>
      <c r="B38" s="40" t="s">
        <v>309</v>
      </c>
      <c r="C38" s="42"/>
      <c r="D38" s="41"/>
      <c r="E38" s="38"/>
      <c r="F38" s="42"/>
    </row>
    <row r="39" spans="1:6">
      <c r="A39" s="39">
        <v>31</v>
      </c>
      <c r="B39" s="40" t="s">
        <v>310</v>
      </c>
      <c r="C39" s="42"/>
      <c r="D39" s="41"/>
      <c r="E39" s="38"/>
      <c r="F39" s="42"/>
    </row>
    <row r="40" spans="1:6">
      <c r="A40" s="39">
        <v>32</v>
      </c>
      <c r="B40" s="40" t="s">
        <v>311</v>
      </c>
      <c r="C40" s="42"/>
      <c r="D40" s="41"/>
      <c r="E40" s="38"/>
      <c r="F40" s="42"/>
    </row>
    <row r="41" spans="1:6">
      <c r="A41" s="39">
        <v>33</v>
      </c>
      <c r="B41" s="40" t="s">
        <v>312</v>
      </c>
      <c r="C41" s="55"/>
      <c r="D41" s="41"/>
      <c r="E41" s="38"/>
      <c r="F41" s="42"/>
    </row>
    <row r="42" spans="1:6">
      <c r="A42" s="39">
        <v>34</v>
      </c>
      <c r="B42" s="40" t="s">
        <v>313</v>
      </c>
      <c r="C42" s="55"/>
      <c r="D42" s="41"/>
      <c r="E42" s="38"/>
      <c r="F42" s="42"/>
    </row>
    <row r="43" spans="1:6" ht="45">
      <c r="A43" s="39">
        <v>35</v>
      </c>
      <c r="B43" s="40" t="s">
        <v>231</v>
      </c>
      <c r="C43" s="55"/>
      <c r="D43" s="41"/>
      <c r="E43" s="38"/>
      <c r="F43" s="42"/>
    </row>
    <row r="44" spans="1:6">
      <c r="A44" s="39">
        <v>36</v>
      </c>
      <c r="B44" s="40" t="s">
        <v>314</v>
      </c>
      <c r="C44" s="55"/>
      <c r="D44" s="41"/>
      <c r="E44" s="38"/>
      <c r="F44" s="42"/>
    </row>
    <row r="45" spans="1:6">
      <c r="A45" s="39">
        <v>37</v>
      </c>
      <c r="B45" s="40" t="s">
        <v>315</v>
      </c>
      <c r="C45" s="55"/>
      <c r="D45" s="41"/>
      <c r="E45" s="38"/>
      <c r="F45" s="42"/>
    </row>
    <row r="46" spans="1:6" ht="45">
      <c r="A46" s="39">
        <v>38</v>
      </c>
      <c r="B46" s="40" t="s">
        <v>316</v>
      </c>
      <c r="C46" s="55"/>
      <c r="D46" s="41"/>
      <c r="E46" s="38"/>
      <c r="F46" s="42"/>
    </row>
    <row r="47" spans="1:6">
      <c r="A47" s="39">
        <v>39</v>
      </c>
      <c r="B47" s="40" t="s">
        <v>317</v>
      </c>
      <c r="C47" s="55"/>
      <c r="D47" s="41"/>
      <c r="E47" s="38"/>
      <c r="F47" s="42"/>
    </row>
    <row r="48" spans="1:6">
      <c r="A48" s="39">
        <v>40</v>
      </c>
      <c r="B48" s="40" t="s">
        <v>318</v>
      </c>
      <c r="C48" s="55"/>
      <c r="D48" s="41"/>
      <c r="E48" s="38"/>
      <c r="F48" s="42"/>
    </row>
    <row r="49" spans="1:6">
      <c r="A49" s="39">
        <v>41</v>
      </c>
      <c r="B49" s="40" t="s">
        <v>319</v>
      </c>
      <c r="C49" s="55"/>
      <c r="D49" s="41"/>
      <c r="E49" s="38"/>
      <c r="F49" s="42"/>
    </row>
    <row r="50" spans="1:6" ht="30">
      <c r="A50" s="39">
        <v>42</v>
      </c>
      <c r="B50" s="40" t="s">
        <v>320</v>
      </c>
      <c r="C50" s="55"/>
      <c r="D50" s="41"/>
      <c r="E50" s="38"/>
      <c r="F50" s="42"/>
    </row>
    <row r="51" spans="1:6">
      <c r="A51" s="44" t="s">
        <v>44</v>
      </c>
      <c r="B51" s="44"/>
      <c r="C51" s="44"/>
      <c r="D51" s="44"/>
      <c r="E51" s="44"/>
      <c r="F51" s="45">
        <f>TRUNC(SUM(F35:F50),2)</f>
        <v>0</v>
      </c>
    </row>
    <row r="52" spans="1:6">
      <c r="A52" s="56"/>
      <c r="B52" s="56" t="s">
        <v>321</v>
      </c>
      <c r="C52" s="56"/>
      <c r="D52" s="44"/>
      <c r="E52" s="44"/>
      <c r="F52" s="57">
        <f>TRUNC(F51/6,2)</f>
        <v>0</v>
      </c>
    </row>
    <row r="53" spans="1:6">
      <c r="A53" s="58"/>
      <c r="B53" s="59" t="s">
        <v>302</v>
      </c>
      <c r="C53" s="60"/>
      <c r="D53" s="44"/>
      <c r="E53" s="44"/>
      <c r="F53" s="61" t="e">
        <f>TRUNC(F52/'Tipos de Área e Produtivida'!M20,2)</f>
        <v>#DIV/0!</v>
      </c>
    </row>
    <row r="55" spans="1:6">
      <c r="A55" s="62"/>
      <c r="B55" s="63" t="s">
        <v>322</v>
      </c>
      <c r="C55" s="64"/>
      <c r="D55" s="65"/>
      <c r="E55" s="65"/>
      <c r="F55" s="66" t="e">
        <f>TRUNC(SUM(F31,F53),2)</f>
        <v>#DIV/0!</v>
      </c>
    </row>
  </sheetData>
  <mergeCells count="1">
    <mergeCell ref="A2:F2"/>
  </mergeCells>
  <hyperlinks>
    <hyperlink ref="B27" r:id="rId1" tooltip="https://www.google.com.br/url?sa=i&amp;rct=j&amp;q=&amp;esrc=s&amp;source=images&amp;cd=&amp;ved=0ahUKEwjpsqHX6d7MAhVBF5AKHXDhCV8QjhwIBQ&amp;url=http://www.ateliesonhoselembrancas.com.br/sabonete-liquido-pronto-1-litro.html&amp;psig=AFQjCNHtLNBkHnjz_pFLCTKg6ulyOsIRzQ&amp;ust=146349602454521"/>
    <hyperlink ref="B29" r:id="rId2" tooltip="https://www.jocar.com.br/Produto.aspx?CG=18&amp;CSG=34&amp;CP=704023"/>
  </hyperlinks>
  <pageMargins left="0.7" right="0.7" top="0.75" bottom="0.75" header="0.3" footer="0.3"/>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3"/>
  <sheetViews>
    <sheetView showGridLines="0" topLeftCell="A31" zoomScale="85" zoomScaleNormal="85" workbookViewId="0">
      <selection activeCell="D40" sqref="D40"/>
    </sheetView>
  </sheetViews>
  <sheetFormatPr defaultColWidth="9" defaultRowHeight="15"/>
  <cols>
    <col min="2" max="2" width="68.42578125" style="23" customWidth="1"/>
    <col min="3" max="3" width="43.28515625" customWidth="1"/>
    <col min="4" max="4" width="27.85546875" customWidth="1"/>
  </cols>
  <sheetData>
    <row r="1" spans="1:4">
      <c r="A1" s="154" t="s">
        <v>323</v>
      </c>
      <c r="B1" s="154"/>
      <c r="C1" s="154"/>
      <c r="D1" s="154"/>
    </row>
    <row r="2" spans="1:4">
      <c r="A2" t="s">
        <v>2</v>
      </c>
      <c r="B2" s="23" t="s">
        <v>3</v>
      </c>
      <c r="C2" t="s">
        <v>324</v>
      </c>
      <c r="D2" t="s">
        <v>325</v>
      </c>
    </row>
    <row r="3" spans="1:4" ht="15" customHeight="1">
      <c r="A3" s="25">
        <v>1</v>
      </c>
      <c r="B3" s="26" t="s">
        <v>326</v>
      </c>
      <c r="C3" s="27" t="s">
        <v>327</v>
      </c>
      <c r="D3" s="28">
        <v>1060.8900000000001</v>
      </c>
    </row>
    <row r="4" spans="1:4">
      <c r="A4" s="29">
        <v>2</v>
      </c>
      <c r="B4" s="30" t="s">
        <v>328</v>
      </c>
      <c r="C4" s="30" t="s">
        <v>327</v>
      </c>
      <c r="D4" s="31">
        <v>299.58999999999997</v>
      </c>
    </row>
    <row r="5" spans="1:4">
      <c r="A5" s="25">
        <v>3</v>
      </c>
      <c r="B5" s="27" t="s">
        <v>329</v>
      </c>
      <c r="C5" s="27" t="s">
        <v>330</v>
      </c>
      <c r="D5" s="28">
        <v>2218.23</v>
      </c>
    </row>
    <row r="6" spans="1:4">
      <c r="A6" s="29">
        <v>4</v>
      </c>
      <c r="B6" s="30" t="s">
        <v>331</v>
      </c>
      <c r="C6" s="30" t="s">
        <v>327</v>
      </c>
      <c r="D6" s="31">
        <v>565.19000000000005</v>
      </c>
    </row>
    <row r="7" spans="1:4">
      <c r="A7" s="25">
        <v>5</v>
      </c>
      <c r="B7" s="27" t="s">
        <v>332</v>
      </c>
      <c r="C7" s="27" t="s">
        <v>327</v>
      </c>
      <c r="D7" s="28">
        <v>439.86</v>
      </c>
    </row>
    <row r="8" spans="1:4">
      <c r="A8" s="29">
        <v>6</v>
      </c>
      <c r="B8" s="30" t="s">
        <v>333</v>
      </c>
      <c r="C8" s="30" t="s">
        <v>327</v>
      </c>
      <c r="D8" s="31">
        <v>690.82</v>
      </c>
    </row>
    <row r="9" spans="1:4">
      <c r="A9" s="25">
        <v>7</v>
      </c>
      <c r="B9" s="27" t="s">
        <v>334</v>
      </c>
      <c r="C9" s="27" t="s">
        <v>335</v>
      </c>
      <c r="D9" s="28">
        <v>181.42</v>
      </c>
    </row>
    <row r="10" spans="1:4">
      <c r="A10" s="29">
        <v>8</v>
      </c>
      <c r="B10" s="30" t="s">
        <v>336</v>
      </c>
      <c r="C10" s="30" t="s">
        <v>327</v>
      </c>
      <c r="D10" s="31">
        <v>2287.04</v>
      </c>
    </row>
    <row r="11" spans="1:4">
      <c r="A11" s="25">
        <v>9</v>
      </c>
      <c r="B11" s="27" t="s">
        <v>337</v>
      </c>
      <c r="C11" s="27" t="s">
        <v>330</v>
      </c>
      <c r="D11" s="28">
        <v>127.68</v>
      </c>
    </row>
    <row r="12" spans="1:4">
      <c r="A12" s="29">
        <v>10</v>
      </c>
      <c r="B12" s="30" t="s">
        <v>338</v>
      </c>
      <c r="C12" s="30" t="s">
        <v>327</v>
      </c>
      <c r="D12" s="31">
        <v>865.65</v>
      </c>
    </row>
    <row r="13" spans="1:4">
      <c r="A13" s="25">
        <v>11</v>
      </c>
      <c r="B13" s="27" t="s">
        <v>339</v>
      </c>
      <c r="C13" s="27" t="s">
        <v>327</v>
      </c>
      <c r="D13" s="28">
        <v>868.99</v>
      </c>
    </row>
    <row r="14" spans="1:4">
      <c r="A14" s="29">
        <v>12</v>
      </c>
      <c r="B14" s="30" t="s">
        <v>340</v>
      </c>
      <c r="C14" s="30" t="s">
        <v>327</v>
      </c>
      <c r="D14" s="31">
        <v>1719.09</v>
      </c>
    </row>
    <row r="15" spans="1:4">
      <c r="A15" s="25">
        <v>13</v>
      </c>
      <c r="B15" s="27" t="s">
        <v>341</v>
      </c>
      <c r="C15" s="27" t="s">
        <v>327</v>
      </c>
      <c r="D15" s="28">
        <v>500.13</v>
      </c>
    </row>
    <row r="16" spans="1:4">
      <c r="A16" s="29">
        <v>14</v>
      </c>
      <c r="B16" s="30" t="s">
        <v>342</v>
      </c>
      <c r="C16" s="30" t="s">
        <v>327</v>
      </c>
      <c r="D16" s="31">
        <v>329.76</v>
      </c>
    </row>
    <row r="17" spans="1:4">
      <c r="A17" s="25">
        <v>15</v>
      </c>
      <c r="B17" s="27" t="s">
        <v>343</v>
      </c>
      <c r="C17" s="27" t="s">
        <v>327</v>
      </c>
      <c r="D17" s="28">
        <v>311.91000000000003</v>
      </c>
    </row>
    <row r="18" spans="1:4">
      <c r="A18" s="29">
        <v>16</v>
      </c>
      <c r="B18" s="30" t="s">
        <v>344</v>
      </c>
      <c r="C18" s="30" t="s">
        <v>327</v>
      </c>
      <c r="D18" s="31">
        <v>369.15</v>
      </c>
    </row>
    <row r="19" spans="1:4">
      <c r="A19" s="25">
        <v>17</v>
      </c>
      <c r="B19" s="27" t="s">
        <v>345</v>
      </c>
      <c r="C19" s="27" t="s">
        <v>327</v>
      </c>
      <c r="D19" s="28">
        <v>674.03</v>
      </c>
    </row>
    <row r="20" spans="1:4">
      <c r="A20" s="29">
        <v>18</v>
      </c>
      <c r="B20" s="30" t="s">
        <v>346</v>
      </c>
      <c r="C20" s="30" t="s">
        <v>327</v>
      </c>
      <c r="D20" s="31">
        <v>831.97</v>
      </c>
    </row>
    <row r="21" spans="1:4">
      <c r="A21" s="25">
        <v>19</v>
      </c>
      <c r="B21" s="27" t="s">
        <v>347</v>
      </c>
      <c r="C21" s="27" t="s">
        <v>327</v>
      </c>
      <c r="D21" s="28">
        <v>1060.21</v>
      </c>
    </row>
    <row r="22" spans="1:4" ht="15" customHeight="1">
      <c r="A22" s="29">
        <v>20</v>
      </c>
      <c r="B22" s="30" t="s">
        <v>348</v>
      </c>
      <c r="C22" s="30" t="s">
        <v>327</v>
      </c>
      <c r="D22" s="31">
        <v>50.17</v>
      </c>
    </row>
    <row r="23" spans="1:4">
      <c r="A23" s="25">
        <v>21</v>
      </c>
      <c r="B23" s="27" t="s">
        <v>349</v>
      </c>
      <c r="C23" s="27" t="s">
        <v>350</v>
      </c>
      <c r="D23" s="28">
        <v>1477.25</v>
      </c>
    </row>
    <row r="24" spans="1:4">
      <c r="A24" s="29">
        <v>22</v>
      </c>
      <c r="B24" s="30" t="s">
        <v>351</v>
      </c>
      <c r="C24" s="30" t="s">
        <v>350</v>
      </c>
      <c r="D24" s="31">
        <v>1767.87</v>
      </c>
    </row>
    <row r="25" spans="1:4">
      <c r="A25" s="25">
        <v>23</v>
      </c>
      <c r="B25" s="27" t="s">
        <v>352</v>
      </c>
      <c r="C25" s="27" t="s">
        <v>327</v>
      </c>
      <c r="D25" s="28">
        <v>24.12</v>
      </c>
    </row>
    <row r="26" spans="1:4">
      <c r="A26" s="29">
        <v>24</v>
      </c>
      <c r="B26" s="30" t="s">
        <v>353</v>
      </c>
      <c r="C26" s="26" t="s">
        <v>327</v>
      </c>
      <c r="D26" s="31">
        <v>42.63</v>
      </c>
    </row>
    <row r="27" spans="1:4">
      <c r="A27" s="25">
        <v>25</v>
      </c>
      <c r="B27" s="27" t="s">
        <v>354</v>
      </c>
      <c r="C27" s="27" t="s">
        <v>327</v>
      </c>
      <c r="D27" s="28">
        <v>10.88</v>
      </c>
    </row>
    <row r="28" spans="1:4">
      <c r="A28" s="29">
        <v>26</v>
      </c>
      <c r="B28" s="30" t="s">
        <v>355</v>
      </c>
      <c r="C28" s="30" t="s">
        <v>327</v>
      </c>
      <c r="D28" s="31">
        <v>84.07</v>
      </c>
    </row>
    <row r="29" spans="1:4">
      <c r="A29" s="25">
        <v>27</v>
      </c>
      <c r="B29" s="32" t="s">
        <v>356</v>
      </c>
      <c r="C29" s="32" t="s">
        <v>350</v>
      </c>
      <c r="D29" s="28">
        <v>192.83</v>
      </c>
    </row>
    <row r="30" spans="1:4">
      <c r="A30" s="29">
        <v>28</v>
      </c>
      <c r="B30" s="30" t="s">
        <v>357</v>
      </c>
      <c r="C30" s="30" t="s">
        <v>327</v>
      </c>
      <c r="D30" s="31">
        <v>491.48</v>
      </c>
    </row>
    <row r="31" spans="1:4">
      <c r="A31" s="25">
        <v>29</v>
      </c>
      <c r="B31" s="23" t="s">
        <v>358</v>
      </c>
      <c r="C31" s="26" t="s">
        <v>327</v>
      </c>
      <c r="D31" s="28">
        <v>1664.76</v>
      </c>
    </row>
    <row r="32" spans="1:4">
      <c r="A32" s="29">
        <v>30</v>
      </c>
      <c r="B32" s="23" t="s">
        <v>359</v>
      </c>
      <c r="C32" s="33" t="s">
        <v>335</v>
      </c>
      <c r="D32" s="31">
        <v>310.04000000000002</v>
      </c>
    </row>
    <row r="33" spans="1:4">
      <c r="A33" s="25">
        <v>31</v>
      </c>
      <c r="B33" s="23" t="s">
        <v>360</v>
      </c>
      <c r="C33" s="33" t="s">
        <v>350</v>
      </c>
      <c r="D33" s="28">
        <v>417.57</v>
      </c>
    </row>
    <row r="34" spans="1:4">
      <c r="A34" s="29">
        <v>32</v>
      </c>
      <c r="B34" s="23" t="s">
        <v>361</v>
      </c>
      <c r="C34" s="34" t="s">
        <v>362</v>
      </c>
      <c r="D34" s="31">
        <v>730.99</v>
      </c>
    </row>
    <row r="35" spans="1:4">
      <c r="A35" s="25">
        <v>33</v>
      </c>
      <c r="B35" s="23" t="s">
        <v>363</v>
      </c>
      <c r="C35" s="26" t="s">
        <v>327</v>
      </c>
      <c r="D35" s="28">
        <v>355.6</v>
      </c>
    </row>
    <row r="36" spans="1:4">
      <c r="A36" s="29">
        <v>34</v>
      </c>
      <c r="B36" s="23" t="s">
        <v>364</v>
      </c>
      <c r="C36" s="26" t="s">
        <v>327</v>
      </c>
      <c r="D36" s="31">
        <v>1066.8</v>
      </c>
    </row>
    <row r="37" spans="1:4">
      <c r="A37" s="25">
        <v>35</v>
      </c>
      <c r="B37" s="23" t="s">
        <v>365</v>
      </c>
      <c r="C37" s="26" t="s">
        <v>366</v>
      </c>
      <c r="D37" s="28">
        <v>270</v>
      </c>
    </row>
    <row r="38" spans="1:4">
      <c r="A38" s="29">
        <v>36</v>
      </c>
      <c r="B38" s="34" t="s">
        <v>366</v>
      </c>
      <c r="C38" s="26" t="s">
        <v>366</v>
      </c>
      <c r="D38" s="31">
        <v>7745</v>
      </c>
    </row>
    <row r="39" spans="1:4">
      <c r="A39" s="25">
        <v>37</v>
      </c>
      <c r="B39" s="34" t="s">
        <v>367</v>
      </c>
      <c r="C39" s="26" t="s">
        <v>367</v>
      </c>
      <c r="D39" s="28">
        <v>599.76</v>
      </c>
    </row>
    <row r="40" spans="1:4">
      <c r="A40" s="29">
        <v>38</v>
      </c>
      <c r="B40" s="30" t="s">
        <v>368</v>
      </c>
      <c r="C40" s="30" t="s">
        <v>368</v>
      </c>
      <c r="D40" s="31">
        <v>1128</v>
      </c>
    </row>
    <row r="41" spans="1:4">
      <c r="A41" s="25">
        <v>39</v>
      </c>
      <c r="B41" s="34" t="s">
        <v>369</v>
      </c>
      <c r="C41" s="4" t="s">
        <v>369</v>
      </c>
      <c r="D41" s="28">
        <v>16170</v>
      </c>
    </row>
    <row r="42" spans="1:4">
      <c r="A42" s="29">
        <v>40</v>
      </c>
      <c r="B42" s="30" t="s">
        <v>362</v>
      </c>
      <c r="C42" s="30" t="s">
        <v>362</v>
      </c>
      <c r="D42" s="31">
        <v>8840</v>
      </c>
    </row>
    <row r="43" spans="1:4">
      <c r="A43" s="35" t="s">
        <v>179</v>
      </c>
      <c r="B43" s="36"/>
      <c r="C43" s="35"/>
      <c r="D43" s="37">
        <f>TRUNC(SUM(D3:D42),2)</f>
        <v>58841.43</v>
      </c>
    </row>
  </sheetData>
  <mergeCells count="1">
    <mergeCell ref="A1:D1"/>
  </mergeCells>
  <pageMargins left="0.7" right="0.7" top="0.75" bottom="0.75" header="0.3" footer="0.3"/>
  <pageSetup paperSize="9" orientation="portrait"/>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 T a b l e 3 < / 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0.xml>��< ? x m l   v e r s i o n = " 1 . 0 "   e n c o d i n g = " U T F - 1 6 " ? > < G e m i n i   x m l n s = " h t t p : / / g e m i n i / p i v o t c u s t o m i z a t i o n / P o w e r P i v o t V e r s i o n " > < C u s t o m C o n t e n t > < ! [ C D A T A [ 2 0 1 5 . 1 3 0 . 8 0 0 . 9 5 8 ] ] > < / C u s t o m C o n t e n t > < / G e m i n i > 
</file>

<file path=customXml/item11.xml>��< ? x m l   v e r s i o n = " 1 . 0 "   e n c o d i n g = " U T F - 1 6 " ? > < G e m i n i   x m l n s = " h t t p : / / g e m i n i / p i v o t c u s t o m i z a t i o n / I s S a n d b o x E m b e d d e d " > < C u s t o m C o n t e n t > < ! [ C D A T A [ y e s ] ] > < / C u s t o m C o n t e n t > < / G e m i n i > 
</file>

<file path=customXml/item12.xml>��< ? x m l   v e r s i o n = " 1 . 0 "   e n c o d i n g = " U T F - 1 6 " ? > < G e m i n i   x m l n s = " h t t p : / / g e m i n i / p i v o t c u s t o m i z a t i o n / S h o w H i d d e n " > < C u s t o m C o n t e n t > < ! [ C D A T A [ T r u e ] ] > < / C u s t o m C o n t e n t > < / G e m i n i > 
</file>

<file path=customXml/item13.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 T a b l e 3 < / 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 T a b l e 3 < / 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 C o l u m n s \ D e s c r i � � o < / K e y > < / a : K e y > < a : V a l u e   i : t y p e = " T a b l e W i d g e t B a s e V i e w S t a t e " / > < / a : K e y V a l u e O f D i a g r a m O b j e c t K e y a n y T y p e z b w N T n L X > < a : K e y V a l u e O f D i a g r a m O b j e c t K e y a n y T y p e z b w N T n L X > < a : K e y > < K e y > C o l u m n s \ T i p o < / K e y > < / a : K e y > < a : V a l u e   i : t y p e = " T a b l e W i d g e t B a s e V i e w S t a t e " / > < / a : K e y V a l u e O f D i a g r a m O b j e c t K e y a n y T y p e z b w N T n L X > < a : K e y V a l u e O f D i a g r a m O b j e c t K e y a n y T y p e z b w N T n L X > < a : K e y > < K e y > C o l u m n s \ Q u a n t i d a d e < / K e y > < / a : K e y > < a : V a l u e   i : t y p e = " T a b l e W i d g e t B a s e V i e w S t a t e " / > < / a : K e y V a l u e O f D i a g r a m O b j e c t K e y a n y T y p e z b w N T n L X > < a : K e y V a l u e O f D i a g r a m O b j e c t K e y a n y T y p e z b w N T n L X > < a : K e y > < K e y > C o l u m n s \ F r e q u � n c i a   n o   m � s / s e m e s t r e < / K e y > < / a : K e y > < a : V a l u e   i : t y p e = " T a b l e W i d g e t B a s e V i e w S t a t e " / > < / a : K e y V a l u e O f D i a g r a m O b j e c t K e y a n y T y p e z b w N T n L X > < a : K e y V a l u e O f D i a g r a m O b j e c t K e y a n y T y p e z b w N T n L X > < a : K e y > < K e y > C o l u m n s \ J o r n a d a   d e   T r a b a l h o   n o   m � s / S e m e s t r e < / K e y > < / a : K e y > < a : V a l u e   i : t y p e = " T a b l e W i d g e t B a s e V i e w S t a t e " / > < / a : K e y V a l u e O f D i a g r a m O b j e c t K e y a n y T y p e z b w N T n L X > < a : K e y V a l u e O f D i a g r a m O b j e c t K e y a n y T y p e z b w N T n L X > < a : K e y > < K e y > C o l u m n s \ P r o d u t i v i d a d e   M � n i m a < / K e y > < / a : K e y > < a : V a l u e   i : t y p e = " T a b l e W i d g e t B a s e V i e w S t a t e " / > < / a : K e y V a l u e O f D i a g r a m O b j e c t K e y a n y T y p e z b w N T n L X > < a : K e y V a l u e O f D i a g r a m O b j e c t K e y a n y T y p e z b w N T n L X > < a : K e y > < K e y > C o l u m n s \ P r o d u t i v i d a d e   M � x i m a < / K e y > < / a : K e y > < a : V a l u e   i : t y p e = " T a b l e W i d g e t B a s e V i e w S t a t e " / > < / a : K e y V a l u e O f D i a g r a m O b j e c t K e y a n y T y p e z b w N T n L X > < a : K e y V a l u e O f D i a g r a m O b j e c t K e y a n y T y p e z b w N T n L X > < a : K e y > < K e y > C o l u m n s \ P r o d u t i v i d a d e   M � d i a < / K e y > < / a : K e y > < a : V a l u e   i : t y p e = " T a b l e W i d g e t B a s e V i e w S t a t e " / > < / a : K e y V a l u e O f D i a g r a m O b j e c t K e y a n y T y p e z b w N T n L X > < a : K e y V a l u e O f D i a g r a m O b j e c t K e y a n y T y p e z b w N T n L X > < a : K e y > < K e y > C o l u m n s \ P r o d u t i v i d a d e   P e r s o n a l i z a d a < / K e y > < / a : K e y > < a : V a l u e   i : t y p e = " T a b l e W i d g e t B a s e V i e w S t a t e " / > < / a : K e y V a l u e O f D i a g r a m O b j e c t K e y a n y T y p e z b w N T n L X > < a : K e y V a l u e O f D i a g r a m O b j e c t K e y a n y T y p e z b w N T n L X > < a : K e y > < K e y > C o l u m n s \ K i < / K e y > < / a : K e y > < a : V a l u e   i : t y p e = " T a b l e W i d g e t B a s e V i e w S t a t e " / > < / a : K e y V a l u e O f D i a g r a m O b j e c t K e y a n y T y p e z b w N T n L X > < a : K e y V a l u e O f D i a g r a m O b j e c t K e y a n y T y p e z b w N T n L X > < a : K e y > < K e y > C o l u m n s \ Q t d e .   S e r v e n t e s < / K e y > < / a : K e y > < a : V a l u e   i : t y p e = " T a b l e W i d g e t B a s e V i e w S t a t e " / > < / a : K e y V a l u e O f D i a g r a m O b j e c t K e y a n y T y p e z b w N T n L X > < a : K e y V a l u e O f D i a g r a m O b j e c t K e y a n y T y p e z b w N T n L X > < a : K e y > < K e y > C o l u m n s \ K i   a j u s t a d o < / K e y > < / a : K e y > < a : V a l u e   i : t y p e = " T a b l e W i d g e t B a s e V i e w S t a t e " / > < / a : K e y V a l u e O f D i a g r a m O b j e c t K e y a n y T y p e z b w N T n L X > < a : K e y V a l u e O f D i a g r a m O b j e c t K e y a n y T y p e z b w N T n L X > < a : K e y > < K e y > C o l u m n s \ Q t e   a j u s t a d a < / K e y > < / a : K e y > < a : V a l u e   i : t y p e = " T a b l e W i d g e t B a s e V i e w S t a t e " / > < / a : K e y V a l u e O f D i a g r a m O b j e c t K e y a n y T y p e z b w N T n L X > < a : K e y V a l u e O f D i a g r a m O b j e c t K e y a n y T y p e z b w N T n L X > < a : K e y > < K e y > C o l u m n s \ P r o d u t i v i d a d e < / 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4.xml>��< ? x m l   v e r s i o n = " 1 . 0 "   e n c o d i n g = " u t f - 1 6 " ? > < D a t a M a s h u p   s q m i d = " e 2 a 4 9 9 5 0 - 3 2 8 9 - 4 a 8 a - 8 9 5 b - 5 3 c 5 1 3 3 4 b 7 5 1 "   x m l n s = " h t t p : / / s c h e m a s . m i c r o s o f t . c o m / D a t a M a s h u p " > A A A A A B Y D A A B Q S w M E F A A C A A g A y A h Y T s z Z p g S m A A A A + A A A A B I A H A B D b 2 5 m a W c v U G F j a 2 F n Z S 5 4 b W w g o h g A K K A U A A A A A A A A A A A A A A A A A A A A A A A A A A A A h Y / N C o J A G E V f R W b v / C i G y O c I t U 2 I g m g 7 j J M O 6 S j O m L 5 b i x 6 p V 0 g o q 1 3 L e z i L c x + 3 O 2 R T U 3 t X 1 V v d m h Q x T J G n j G w L b c o U D e 7 s x y j j s B P y I k r l z b K x y W S L F F X O d Q k h 4 z j i M c R t X 5 K A U k Z O + f Y g K 9 U I 9 J H 1 f 9 n X x j p h p E I c j q 8 Y H u B V h K O Q h Z j F D M i C I d f m q w R z M a Z A f i B s h t o N v e K d 8 9 d 7 I M s E 8 n 7 B n 1 B L A w Q U A A I A C A D I C F h O 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y A h Y T i i K R 7 g O A A A A E Q A A A B M A H A B G b 3 J t d W x h c y 9 T Z W N 0 a W 9 u M S 5 t I K I Y A C i g F A A A A A A A A A A A A A A A A A A A A A A A A A A A A C t O T S 7 J z M 9 T C I b Q h t Y A U E s B A i 0 A F A A C A A g A y A h Y T s z Z p g S m A A A A + A A A A B I A A A A A A A A A A A A A A A A A A A A A A E N v b m Z p Z y 9 Q Y W N r Y W d l L n h t b F B L A Q I t A B Q A A g A I A M g I W E 4 P y u m r p A A A A O k A A A A T A A A A A A A A A A A A A A A A A P I A A A B b Q 2 9 u d G V u d F 9 U e X B l c 1 0 u e G 1 s U E s B A i 0 A F A A C A A g A y A h Y T i 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H t h z y a I / h t C p d F H y o F 5 j w w A A A A A A g A A A A A A E G Y A A A A B A A A g A A A A 3 7 M m + 8 3 8 3 3 9 e P c d k A P 1 i B T + D w a I V n 4 + W + q t 3 X z F y 0 8 U A A A A A D o A A A A A C A A A g A A A A S o N 8 V a H s b r 0 o R L r a M 5 S d Z C f C 8 7 4 o u d E H T y P h o v D + + b 1 Q A A A A O 8 T X n P O o k 6 M o V w g b L 4 t X i Q z 2 3 7 j e J H C Y 4 n i L h 6 1 5 S 7 / P H E m 8 V l z Q u U e m l o R R A f s g 7 6 m U K j K s o m + o u 7 P 4 g G U a 5 C z 0 H A / L Y t B a T Z N T 7 g Q b v h V A A A A A d E z x s j J U 1 a 7 f p b r g d y f V N 7 1 y u G O / + g I O T d e h W n c W 7 / X X W S 1 n 3 I i Y d N y j 1 n U H y F 5 U x g f X V v o F w / f t t z a O w k o e X A = = < / D a t a M a s h u p > 
</file>

<file path=customXml/item15.xml>��< ? x m l   v e r s i o n = " 1 . 0 "   e n c o d i n g = " U T F - 1 6 " ? > < G e m i n i   x m l n s = " h t t p : / / g e m i n i / p i v o t c u s t o m i z a t i o n / T a b l e O r d e r " > < C u s t o m C o n t e n t > < ! [ C D A T A [ T a b l e 3 ] ] > < / C u s t o m C o n t e n t > < / G e m i n i > 
</file>

<file path=customXml/item16.xml>��< ? x m l   v e r s i o n = " 1 . 0 "   e n c o d i n g = " U T F - 1 6 " ? > < G e m i n i   x m l n s = " h t t p : / / g e m i n i / p i v o t c u s t o m i z a t i o n / S h o w I m p l i c i t M e a s u r e s " > < C u s t o m C o n t e n t > < ! [ C D A T A [ F a l s e ] ] > < / C u s t o m C o n t e n t > < / G e m i n i > 
</file>

<file path=customXml/item17.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 2 0 1 9 - 0 2 - 2 4 T 0 9 : 4 5 : 1 6 . 4 5 6 9 3 8 4 - 0 3 : 0 0 < / L a s t P r o c e s s e d T i m e > < / D a t a M o d e l i n g S a n d b o x . S e r i a l i z e d S a n d b o x E r r o r C a c h e > ] ] > < / C u s t o m C o n t e n t > < / G e m i n i > 
</file>

<file path=customXml/item2.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3.xml>��< ? x m l   v e r s i o n = " 1 . 0 "   e n c o d i n g = " U T F - 1 6 " ? > < G e m i n i   x m l n s = " h t t p : / / g e m i n i / p i v o t c u s t o m i z a t i o n / L i n k e d T a b l e U p d a t e M o d e " > < C u s t o m C o n t e n t > < ! [ C D A T A [ T r u e ] ] > < / C u s t o m C o n t e n t > < / G e m i n i > 
</file>

<file path=customXml/item4.xml>��< ? x m l   v e r s i o n = " 1 . 0 "   e n c o d i n g = " U T F - 1 6 " ? > < G e m i n i   x m l n s = " h t t p : / / g e m i n i / p i v o t c u s t o m i z a t i o n / M a n u a l C a l c M o d e " > < C u s t o m C o n t e n t > < ! [ C D A T A [ F a l s e ] ] > < / C u s t o m C o n t e n t > < / G e m i n i > 
</file>

<file path=customXml/item5.xml>��< ? x m l   v e r s i o n = " 1 . 0 "   e n c o d i n g = " U T F - 1 6 " ? > < G e m i n i   x m l n s = " h t t p : / / g e m i n i / p i v o t c u s t o m i z a t i o n / T a b l e X M L _ T a b l e 3 " > < C u s t o m C o n t e n t > < ! [ C D A T A [ < T a b l e W i d g e t G r i d S e r i a l i z a t i o n   x m l n s : x s d = " h t t p : / / w w w . w 3 . o r g / 2 0 0 1 / X M L S c h e m a "   x m l n s : x s i = " h t t p : / / w w w . w 3 . o r g / 2 0 0 1 / X M L S c h e m a - i n s t a n c e " > < C o l u m n S u g g e s t e d T y p e   / > < C o l u m n F o r m a t   / > < C o l u m n A c c u r a c y   / > < C o l u m n C u r r e n c y S y m b o l   / > < C o l u m n P o s i t i v e P a t t e r n   / > < C o l u m n N e g a t i v e P a t t e r n   / > < C o l u m n W i d t h s > < i t e m > < k e y > < s t r i n g > D e s c r i � � o < / s t r i n g > < / k e y > < v a l u e > < i n t > 2 5 2 < / i n t > < / v a l u e > < / i t e m > < i t e m > < k e y > < s t r i n g > T i p o < / s t r i n g > < / k e y > < v a l u e > < i n t > 6 3 < / i n t > < / v a l u e > < / i t e m > < i t e m > < k e y > < s t r i n g > Q u a n t i d a d e < / s t r i n g > < / k e y > < v a l u e > < i n t > 1 0 8 < / i n t > < / v a l u e > < / i t e m > < i t e m > < k e y > < s t r i n g > F r e q u � n c i a   n o   m � s / s e m e s t r e < / s t r i n g > < / k e y > < v a l u e > < i n t > 1 4 6 < / i n t > < / v a l u e > < / i t e m > < i t e m > < k e y > < s t r i n g > J o r n a d a   d e   T r a b a l h o   n o   m � s / S e m e s t r e < / s t r i n g > < / k e y > < v a l u e > < i n t > 2 7 2 < / i n t > < / v a l u e > < / i t e m > < i t e m > < k e y > < s t r i n g > P r o d u t i v i d a d e   M � n i m a < / s t r i n g > < / k e y > < v a l u e > < i n t > 1 7 2 < / i n t > < / v a l u e > < / i t e m > < i t e m > < k e y > < s t r i n g > P r o d u t i v i d a d e   M � x i m a < / s t r i n g > < / k e y > < v a l u e > < i n t > 1 7 5 < / i n t > < / v a l u e > < / i t e m > < i t e m > < k e y > < s t r i n g > P r o d u t i v i d a d e   M � d i a < / s t r i n g > < / k e y > < v a l u e > < i n t > 1 6 5 < / i n t > < / v a l u e > < / i t e m > < i t e m > < k e y > < s t r i n g > P r o d u t i v i d a d e   P e r s o n a l i z a d a < / s t r i n g > < / k e y > < v a l u e > < i n t > 2 1 2 < / i n t > < / v a l u e > < / i t e m > < i t e m > < k e y > < s t r i n g > K i < / s t r i n g > < / k e y > < v a l u e > < i n t > 4 8 < / i n t > < / v a l u e > < / i t e m > < i t e m > < k e y > < s t r i n g > Q t d e .   S e r v e n t e s < / s t r i n g > < / k e y > < v a l u e > < i n t > 1 3 6 < / i n t > < / v a l u e > < / i t e m > < i t e m > < k e y > < s t r i n g > K i   a j u s t a d o < / s t r i n g > < / k e y > < v a l u e > < i n t > 1 0 4 < / i n t > < / v a l u e > < / i t e m > < i t e m > < k e y > < s t r i n g > Q t e   a j u s t a d a < / s t r i n g > < / k e y > < v a l u e > < i n t > 1 1 4 < / i n t > < / v a l u e > < / i t e m > < i t e m > < k e y > < s t r i n g > P r o d u t i v i d a d e < / s t r i n g > < / k e y > < v a l u e > < i n t > 1 7 8 < / i n t > < / v a l u e > < / i t e m > < / C o l u m n W i d t h s > < C o l u m n D i s p l a y I n d e x > < i t e m > < k e y > < s t r i n g > D e s c r i � � o < / s t r i n g > < / k e y > < v a l u e > < i n t > 0 < / i n t > < / v a l u e > < / i t e m > < i t e m > < k e y > < s t r i n g > T i p o < / s t r i n g > < / k e y > < v a l u e > < i n t > 1 < / i n t > < / v a l u e > < / i t e m > < i t e m > < k e y > < s t r i n g > Q u a n t i d a d e < / s t r i n g > < / k e y > < v a l u e > < i n t > 2 < / i n t > < / v a l u e > < / i t e m > < i t e m > < k e y > < s t r i n g > F r e q u � n c i a   n o   m � s / s e m e s t r e < / s t r i n g > < / k e y > < v a l u e > < i n t > 3 < / i n t > < / v a l u e > < / i t e m > < i t e m > < k e y > < s t r i n g > J o r n a d a   d e   T r a b a l h o   n o   m � s / S e m e s t r e < / s t r i n g > < / k e y > < v a l u e > < i n t > 4 < / i n t > < / v a l u e > < / i t e m > < i t e m > < k e y > < s t r i n g > P r o d u t i v i d a d e   M � n i m a < / s t r i n g > < / k e y > < v a l u e > < i n t > 5 < / i n t > < / v a l u e > < / i t e m > < i t e m > < k e y > < s t r i n g > P r o d u t i v i d a d e   M � x i m a < / s t r i n g > < / k e y > < v a l u e > < i n t > 6 < / i n t > < / v a l u e > < / i t e m > < i t e m > < k e y > < s t r i n g > P r o d u t i v i d a d e   M � d i a < / s t r i n g > < / k e y > < v a l u e > < i n t > 7 < / i n t > < / v a l u e > < / i t e m > < i t e m > < k e y > < s t r i n g > P r o d u t i v i d a d e   P e r s o n a l i z a d a < / s t r i n g > < / k e y > < v a l u e > < i n t > 8 < / i n t > < / v a l u e > < / i t e m > < i t e m > < k e y > < s t r i n g > K i < / s t r i n g > < / k e y > < v a l u e > < i n t > 9 < / i n t > < / v a l u e > < / i t e m > < i t e m > < k e y > < s t r i n g > Q t d e .   S e r v e n t e s < / s t r i n g > < / k e y > < v a l u e > < i n t > 1 0 < / i n t > < / v a l u e > < / i t e m > < i t e m > < k e y > < s t r i n g > K i   a j u s t a d o < / s t r i n g > < / k e y > < v a l u e > < i n t > 1 1 < / i n t > < / v a l u e > < / i t e m > < i t e m > < k e y > < s t r i n g > Q t e   a j u s t a d a < / s t r i n g > < / k e y > < v a l u e > < i n t > 1 2 < / i n t > < / v a l u e > < / i t e m > < i t e m > < k e y > < s t r i n g > P r o d u t i v i d a d e < / s t r i n g > < / k e y > < v a l u e > < i n t > 1 3 < / i n t > < / v a l u e > < / i t e m > < / C o l u m n D i s p l a y I n d e x > < C o l u m n F r o z e n   / > < C o l u m n C h e c k e d   / > < C o l u m n F i l t e r   / > < S e l e c t i o n F i l t e r   / > < F i l t e r P a r a m e t e r s   / > < I s S o r t D e s c e n d i n g > f a l s e < / I s S o r t D e s c e n d i n g > < / T a b l e W i d g e t G r i d S e r i a l i z a t i o n > ] ] > < / C u s t o m C o n t e n t > < / G e m i n i > 
</file>

<file path=customXml/item6.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 T a b l e 3 < / 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 T a b l e 3 < / 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 C o l u m n s \ D e s c r i � � o < / K e y > < / D i a g r a m O b j e c t K e y > < D i a g r a m O b j e c t K e y > < K e y > C o l u m n s \ T i p o < / K e y > < / D i a g r a m O b j e c t K e y > < D i a g r a m O b j e c t K e y > < K e y > C o l u m n s \ Q u a n t i d a d e < / K e y > < / D i a g r a m O b j e c t K e y > < D i a g r a m O b j e c t K e y > < K e y > C o l u m n s \ F r e q u � n c i a   n o   m � s / s e m e s t r e < / K e y > < / D i a g r a m O b j e c t K e y > < D i a g r a m O b j e c t K e y > < K e y > C o l u m n s \ J o r n a d a   d e   T r a b a l h o   n o   m � s / S e m e s t r e < / K e y > < / D i a g r a m O b j e c t K e y > < D i a g r a m O b j e c t K e y > < K e y > C o l u m n s \ P r o d u t i v i d a d e   M � n i m a < / K e y > < / D i a g r a m O b j e c t K e y > < D i a g r a m O b j e c t K e y > < K e y > C o l u m n s \ P r o d u t i v i d a d e   M � x i m a < / K e y > < / D i a g r a m O b j e c t K e y > < D i a g r a m O b j e c t K e y > < K e y > C o l u m n s \ P r o d u t i v i d a d e   M � d i a < / K e y > < / D i a g r a m O b j e c t K e y > < D i a g r a m O b j e c t K e y > < K e y > C o l u m n s \ P r o d u t i v i d a d e   P e r s o n a l i z a d a < / K e y > < / D i a g r a m O b j e c t K e y > < D i a g r a m O b j e c t K e y > < K e y > C o l u m n s \ K i < / K e y > < / D i a g r a m O b j e c t K e y > < D i a g r a m O b j e c t K e y > < K e y > C o l u m n s \ Q t d e .   S e r v e n t e s < / K e y > < / D i a g r a m O b j e c t K e y > < D i a g r a m O b j e c t K e y > < K e y > C o l u m n s \ K i   a j u s t a d o < / K e y > < / D i a g r a m O b j e c t K e y > < D i a g r a m O b j e c t K e y > < K e y > C o l u m n s \ Q t e   a j u s t a d a < / K e y > < / D i a g r a m O b j e c t K e y > < D i a g r a m O b j e c t K e y > < K e y > C o l u m n s \ P r o d u t i v i d a d e 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 C o l u m n s \ D e s c r i � � o < / K e y > < / a : K e y > < a : V a l u e   i : t y p e = " M e a s u r e G r i d N o d e V i e w S t a t e " > < L a y e d O u t > t r u e < / L a y e d O u t > < / a : V a l u e > < / a : K e y V a l u e O f D i a g r a m O b j e c t K e y a n y T y p e z b w N T n L X > < a : K e y V a l u e O f D i a g r a m O b j e c t K e y a n y T y p e z b w N T n L X > < a : K e y > < K e y > C o l u m n s \ T i p o < / K e y > < / a : K e y > < a : V a l u e   i : t y p e = " M e a s u r e G r i d N o d e V i e w S t a t e " > < C o l u m n > 1 < / C o l u m n > < L a y e d O u t > t r u e < / L a y e d O u t > < / a : V a l u e > < / a : K e y V a l u e O f D i a g r a m O b j e c t K e y a n y T y p e z b w N T n L X > < a : K e y V a l u e O f D i a g r a m O b j e c t K e y a n y T y p e z b w N T n L X > < a : K e y > < K e y > C o l u m n s \ Q u a n t i d a d e < / K e y > < / a : K e y > < a : V a l u e   i : t y p e = " M e a s u r e G r i d N o d e V i e w S t a t e " > < C o l u m n > 2 < / C o l u m n > < L a y e d O u t > t r u e < / L a y e d O u t > < / a : V a l u e > < / a : K e y V a l u e O f D i a g r a m O b j e c t K e y a n y T y p e z b w N T n L X > < a : K e y V a l u e O f D i a g r a m O b j e c t K e y a n y T y p e z b w N T n L X > < a : K e y > < K e y > C o l u m n s \ F r e q u � n c i a   n o   m � s / s e m e s t r e < / K e y > < / a : K e y > < a : V a l u e   i : t y p e = " M e a s u r e G r i d N o d e V i e w S t a t e " > < C o l u m n > 3 < / C o l u m n > < L a y e d O u t > t r u e < / L a y e d O u t > < / a : V a l u e > < / a : K e y V a l u e O f D i a g r a m O b j e c t K e y a n y T y p e z b w N T n L X > < a : K e y V a l u e O f D i a g r a m O b j e c t K e y a n y T y p e z b w N T n L X > < a : K e y > < K e y > C o l u m n s \ J o r n a d a   d e   T r a b a l h o   n o   m � s / S e m e s t r e < / K e y > < / a : K e y > < a : V a l u e   i : t y p e = " M e a s u r e G r i d N o d e V i e w S t a t e " > < C o l u m n > 4 < / C o l u m n > < L a y e d O u t > t r u e < / L a y e d O u t > < / a : V a l u e > < / a : K e y V a l u e O f D i a g r a m O b j e c t K e y a n y T y p e z b w N T n L X > < a : K e y V a l u e O f D i a g r a m O b j e c t K e y a n y T y p e z b w N T n L X > < a : K e y > < K e y > C o l u m n s \ P r o d u t i v i d a d e   M � n i m a < / K e y > < / a : K e y > < a : V a l u e   i : t y p e = " M e a s u r e G r i d N o d e V i e w S t a t e " > < C o l u m n > 5 < / C o l u m n > < L a y e d O u t > t r u e < / L a y e d O u t > < / a : V a l u e > < / a : K e y V a l u e O f D i a g r a m O b j e c t K e y a n y T y p e z b w N T n L X > < a : K e y V a l u e O f D i a g r a m O b j e c t K e y a n y T y p e z b w N T n L X > < a : K e y > < K e y > C o l u m n s \ P r o d u t i v i d a d e   M � x i m a < / K e y > < / a : K e y > < a : V a l u e   i : t y p e = " M e a s u r e G r i d N o d e V i e w S t a t e " > < C o l u m n > 6 < / C o l u m n > < L a y e d O u t > t r u e < / L a y e d O u t > < / a : V a l u e > < / a : K e y V a l u e O f D i a g r a m O b j e c t K e y a n y T y p e z b w N T n L X > < a : K e y V a l u e O f D i a g r a m O b j e c t K e y a n y T y p e z b w N T n L X > < a : K e y > < K e y > C o l u m n s \ P r o d u t i v i d a d e   M � d i a < / K e y > < / a : K e y > < a : V a l u e   i : t y p e = " M e a s u r e G r i d N o d e V i e w S t a t e " > < C o l u m n > 7 < / C o l u m n > < L a y e d O u t > t r u e < / L a y e d O u t > < / a : V a l u e > < / a : K e y V a l u e O f D i a g r a m O b j e c t K e y a n y T y p e z b w N T n L X > < a : K e y V a l u e O f D i a g r a m O b j e c t K e y a n y T y p e z b w N T n L X > < a : K e y > < K e y > C o l u m n s \ P r o d u t i v i d a d e   P e r s o n a l i z a d a < / K e y > < / a : K e y > < a : V a l u e   i : t y p e = " M e a s u r e G r i d N o d e V i e w S t a t e " > < C o l u m n > 8 < / C o l u m n > < L a y e d O u t > t r u e < / L a y e d O u t > < / a : V a l u e > < / a : K e y V a l u e O f D i a g r a m O b j e c t K e y a n y T y p e z b w N T n L X > < a : K e y V a l u e O f D i a g r a m O b j e c t K e y a n y T y p e z b w N T n L X > < a : K e y > < K e y > C o l u m n s \ K i < / K e y > < / a : K e y > < a : V a l u e   i : t y p e = " M e a s u r e G r i d N o d e V i e w S t a t e " > < C o l u m n > 9 < / C o l u m n > < L a y e d O u t > t r u e < / L a y e d O u t > < / a : V a l u e > < / a : K e y V a l u e O f D i a g r a m O b j e c t K e y a n y T y p e z b w N T n L X > < a : K e y V a l u e O f D i a g r a m O b j e c t K e y a n y T y p e z b w N T n L X > < a : K e y > < K e y > C o l u m n s \ Q t d e .   S e r v e n t e s < / K e y > < / a : K e y > < a : V a l u e   i : t y p e = " M e a s u r e G r i d N o d e V i e w S t a t e " > < C o l u m n > 1 0 < / C o l u m n > < L a y e d O u t > t r u e < / L a y e d O u t > < / a : V a l u e > < / a : K e y V a l u e O f D i a g r a m O b j e c t K e y a n y T y p e z b w N T n L X > < a : K e y V a l u e O f D i a g r a m O b j e c t K e y a n y T y p e z b w N T n L X > < a : K e y > < K e y > C o l u m n s \ K i   a j u s t a d o < / K e y > < / a : K e y > < a : V a l u e   i : t y p e = " M e a s u r e G r i d N o d e V i e w S t a t e " > < C o l u m n > 1 1 < / C o l u m n > < L a y e d O u t > t r u e < / L a y e d O u t > < / a : V a l u e > < / a : K e y V a l u e O f D i a g r a m O b j e c t K e y a n y T y p e z b w N T n L X > < a : K e y V a l u e O f D i a g r a m O b j e c t K e y a n y T y p e z b w N T n L X > < a : K e y > < K e y > C o l u m n s \ Q t e   a j u s t a d a < / K e y > < / a : K e y > < a : V a l u e   i : t y p e = " M e a s u r e G r i d N o d e V i e w S t a t e " > < C o l u m n > 1 2 < / C o l u m n > < L a y e d O u t > t r u e < / L a y e d O u t > < / a : V a l u e > < / a : K e y V a l u e O f D i a g r a m O b j e c t K e y a n y T y p e z b w N T n L X > < a : K e y V a l u e O f D i a g r a m O b j e c t K e y a n y T y p e z b w N T n L X > < a : K e y > < K e y > C o l u m n s \ P r o d u t i v i d a d e < / K e y > < / a : K e y > < a : V a l u e   i : t y p e = " M e a s u r e G r i d N o d e V i e w S t a t e " > < C o l u m n > 1 3 < / C o l u m n > < L a y e d O u t > t r u e < / L a y e d O u t > < / a : V a l u e > < / a : K e y V a l u e O f D i a g r a m O b j e c t K e y a n y T y p e z b w N T n L X > < / V i e w S t a t e s > < / D i a g r a m M a n a g e r . S e r i a l i z a b l e D i a g r a m > < 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 T a g s \ T a b l e s \ & l t ; T a b l e s \ T a b l e 3 & g t ; < / K e y > < / D i a g r a m O b j e c t K e y > < D i a g r a m O b j e c t K e y > < K e y > T a b l e s \ T a b l e 3 < / K e y > < / D i a g r a m O b j e c t K e y > < D i a g r a m O b j e c t K e y > < K e y > T a b l e s \ T a b l e 3 \ C o l u m n s \ D e s c r i � � o < / K e y > < / D i a g r a m O b j e c t K e y > < D i a g r a m O b j e c t K e y > < K e y > T a b l e s \ T a b l e 3 \ C o l u m n s \ T i p o < / K e y > < / D i a g r a m O b j e c t K e y > < D i a g r a m O b j e c t K e y > < K e y > T a b l e s \ T a b l e 3 \ C o l u m n s \ Q u a n t i d a d e < / K e y > < / D i a g r a m O b j e c t K e y > < D i a g r a m O b j e c t K e y > < K e y > T a b l e s \ T a b l e 3 \ C o l u m n s \ F r e q u � n c i a   n o   m � s / s e m e s t r e < / K e y > < / D i a g r a m O b j e c t K e y > < D i a g r a m O b j e c t K e y > < K e y > T a b l e s \ T a b l e 3 \ C o l u m n s \ J o r n a d a   d e   T r a b a l h o   n o   m � s / S e m e s t r e < / K e y > < / D i a g r a m O b j e c t K e y > < D i a g r a m O b j e c t K e y > < K e y > T a b l e s \ T a b l e 3 \ C o l u m n s \ P r o d u t i v i d a d e   M � n i m a < / K e y > < / D i a g r a m O b j e c t K e y > < D i a g r a m O b j e c t K e y > < K e y > T a b l e s \ T a b l e 3 \ C o l u m n s \ P r o d u t i v i d a d e   M � x i m a < / K e y > < / D i a g r a m O b j e c t K e y > < D i a g r a m O b j e c t K e y > < K e y > T a b l e s \ T a b l e 3 \ C o l u m n s \ P r o d u t i v i d a d e   M � d i a < / K e y > < / D i a g r a m O b j e c t K e y > < D i a g r a m O b j e c t K e y > < K e y > T a b l e s \ T a b l e 3 \ C o l u m n s \ P r o d u t i v i d a d e   P e r s o n a l i z a d a < / K e y > < / D i a g r a m O b j e c t K e y > < D i a g r a m O b j e c t K e y > < K e y > T a b l e s \ T a b l e 3 \ C o l u m n s \ K i < / K e y > < / D i a g r a m O b j e c t K e y > < D i a g r a m O b j e c t K e y > < K e y > T a b l e s \ T a b l e 3 \ C o l u m n s \ Q t d e .   S e r v e n t e s < / K e y > < / D i a g r a m O b j e c t K e y > < D i a g r a m O b j e c t K e y > < K e y > T a b l e s \ T a b l e 3 \ C o l u m n s \ K i   a j u s t a d o < / K e y > < / D i a g r a m O b j e c t K e y > < D i a g r a m O b j e c t K e y > < K e y > T a b l e s \ T a b l e 3 \ C o l u m n s \ Q t e   a j u s t a d a < / K e y > < / D i a g r a m O b j e c t K e y > < D i a g r a m O b j e c t K e y > < K e y > T a b l e s \ T a b l e 3 \ C o l u m n s \ P r o d u t i v i d a d e < / K e y > < / D i a g r a m O b j e c t K e y > < / A l l K e y s > < S e l e c t e d K e y s > < D i a g r a m O b j e c t K e y > < K e y > T a b l e s \ T a b l e 3 \ C o l u m n s \ P r o d u t i v i d a d e < / 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 T a g s \ T a b l e s \ & l t ; T a b l e s \ T a b l e 3 & g t ; < / K e y > < / a : K e y > < a : V a l u e   i : t y p e = " D i a g r a m D i s p l a y T a g V i e w S t a t e " > < I s N o t F i l t e r e d O u t > t r u e < / I s N o t F i l t e r e d O u t > < / a : V a l u e > < / a : K e y V a l u e O f D i a g r a m O b j e c t K e y a n y T y p e z b w N T n L X > < a : K e y V a l u e O f D i a g r a m O b j e c t K e y a n y T y p e z b w N T n L X > < a : K e y > < K e y > T a b l e s \ T a b l e 3 < / K e y > < / a : K e y > < a : V a l u e   i : t y p e = " D i a g r a m D i s p l a y N o d e V i e w S t a t e " > < H e i g h t > 4 4 4 < / H e i g h t > < I s E x p a n d e d > t r u e < / I s E x p a n d e d > < L a y e d O u t > t r u e < / L a y e d O u t > < W i d t h > 6 2 2 < / W i d t h > < / a : V a l u e > < / a : K e y V a l u e O f D i a g r a m O b j e c t K e y a n y T y p e z b w N T n L X > < a : K e y V a l u e O f D i a g r a m O b j e c t K e y a n y T y p e z b w N T n L X > < a : K e y > < K e y > T a b l e s \ T a b l e 3 \ C o l u m n s \ D e s c r i � � o < / K e y > < / a : K e y > < a : V a l u e   i : t y p e = " D i a g r a m D i s p l a y N o d e V i e w S t a t e " > < H e i g h t > 1 5 0 < / H e i g h t > < I s E x p a n d e d > t r u e < / I s E x p a n d e d > < W i d t h > 2 0 0 < / W i d t h > < / a : V a l u e > < / a : K e y V a l u e O f D i a g r a m O b j e c t K e y a n y T y p e z b w N T n L X > < a : K e y V a l u e O f D i a g r a m O b j e c t K e y a n y T y p e z b w N T n L X > < a : K e y > < K e y > T a b l e s \ T a b l e 3 \ C o l u m n s \ T i p o < / K e y > < / a : K e y > < a : V a l u e   i : t y p e = " D i a g r a m D i s p l a y N o d e V i e w S t a t e " > < H e i g h t > 1 5 0 < / H e i g h t > < I s E x p a n d e d > t r u e < / I s E x p a n d e d > < W i d t h > 2 0 0 < / W i d t h > < / a : V a l u e > < / a : K e y V a l u e O f D i a g r a m O b j e c t K e y a n y T y p e z b w N T n L X > < a : K e y V a l u e O f D i a g r a m O b j e c t K e y a n y T y p e z b w N T n L X > < a : K e y > < K e y > T a b l e s \ T a b l e 3 \ C o l u m n s \ Q u a n t i d a d e < / K e y > < / a : K e y > < a : V a l u e   i : t y p e = " D i a g r a m D i s p l a y N o d e V i e w S t a t e " > < H e i g h t > 1 5 0 < / H e i g h t > < I s E x p a n d e d > t r u e < / I s E x p a n d e d > < W i d t h > 2 0 0 < / W i d t h > < / a : V a l u e > < / a : K e y V a l u e O f D i a g r a m O b j e c t K e y a n y T y p e z b w N T n L X > < a : K e y V a l u e O f D i a g r a m O b j e c t K e y a n y T y p e z b w N T n L X > < a : K e y > < K e y > T a b l e s \ T a b l e 3 \ C o l u m n s \ F r e q u � n c i a   n o   m � s / s e m e s t r e < / K e y > < / a : K e y > < a : V a l u e   i : t y p e = " D i a g r a m D i s p l a y N o d e V i e w S t a t e " > < H e i g h t > 1 5 0 < / H e i g h t > < I s E x p a n d e d > t r u e < / I s E x p a n d e d > < W i d t h > 2 0 0 < / W i d t h > < / a : V a l u e > < / a : K e y V a l u e O f D i a g r a m O b j e c t K e y a n y T y p e z b w N T n L X > < a : K e y V a l u e O f D i a g r a m O b j e c t K e y a n y T y p e z b w N T n L X > < a : K e y > < K e y > T a b l e s \ T a b l e 3 \ C o l u m n s \ J o r n a d a   d e   T r a b a l h o   n o   m � s / S e m e s t r e < / K e y > < / a : K e y > < a : V a l u e   i : t y p e = " D i a g r a m D i s p l a y N o d e V i e w S t a t e " > < H e i g h t > 1 5 0 < / H e i g h t > < I s E x p a n d e d > t r u e < / I s E x p a n d e d > < W i d t h > 2 0 0 < / W i d t h > < / a : V a l u e > < / a : K e y V a l u e O f D i a g r a m O b j e c t K e y a n y T y p e z b w N T n L X > < a : K e y V a l u e O f D i a g r a m O b j e c t K e y a n y T y p e z b w N T n L X > < a : K e y > < K e y > T a b l e s \ T a b l e 3 \ C o l u m n s \ P r o d u t i v i d a d e   M � n i m a < / K e y > < / a : K e y > < a : V a l u e   i : t y p e = " D i a g r a m D i s p l a y N o d e V i e w S t a t e " > < H e i g h t > 1 5 0 < / H e i g h t > < I s E x p a n d e d > t r u e < / I s E x p a n d e d > < W i d t h > 2 0 0 < / W i d t h > < / a : V a l u e > < / a : K e y V a l u e O f D i a g r a m O b j e c t K e y a n y T y p e z b w N T n L X > < a : K e y V a l u e O f D i a g r a m O b j e c t K e y a n y T y p e z b w N T n L X > < a : K e y > < K e y > T a b l e s \ T a b l e 3 \ C o l u m n s \ P r o d u t i v i d a d e   M � x i m a < / K e y > < / a : K e y > < a : V a l u e   i : t y p e = " D i a g r a m D i s p l a y N o d e V i e w S t a t e " > < H e i g h t > 1 5 0 < / H e i g h t > < I s E x p a n d e d > t r u e < / I s E x p a n d e d > < W i d t h > 2 0 0 < / W i d t h > < / a : V a l u e > < / a : K e y V a l u e O f D i a g r a m O b j e c t K e y a n y T y p e z b w N T n L X > < a : K e y V a l u e O f D i a g r a m O b j e c t K e y a n y T y p e z b w N T n L X > < a : K e y > < K e y > T a b l e s \ T a b l e 3 \ C o l u m n s \ P r o d u t i v i d a d e   M � d i a < / K e y > < / a : K e y > < a : V a l u e   i : t y p e = " D i a g r a m D i s p l a y N o d e V i e w S t a t e " > < H e i g h t > 1 5 0 < / H e i g h t > < I s E x p a n d e d > t r u e < / I s E x p a n d e d > < W i d t h > 2 0 0 < / W i d t h > < / a : V a l u e > < / a : K e y V a l u e O f D i a g r a m O b j e c t K e y a n y T y p e z b w N T n L X > < a : K e y V a l u e O f D i a g r a m O b j e c t K e y a n y T y p e z b w N T n L X > < a : K e y > < K e y > T a b l e s \ T a b l e 3 \ C o l u m n s \ P r o d u t i v i d a d e   P e r s o n a l i z a d a < / K e y > < / a : K e y > < a : V a l u e   i : t y p e = " D i a g r a m D i s p l a y N o d e V i e w S t a t e " > < H e i g h t > 1 5 0 < / H e i g h t > < I s E x p a n d e d > t r u e < / I s E x p a n d e d > < W i d t h > 2 0 0 < / W i d t h > < / a : V a l u e > < / a : K e y V a l u e O f D i a g r a m O b j e c t K e y a n y T y p e z b w N T n L X > < a : K e y V a l u e O f D i a g r a m O b j e c t K e y a n y T y p e z b w N T n L X > < a : K e y > < K e y > T a b l e s \ T a b l e 3 \ C o l u m n s \ K i < / K e y > < / a : K e y > < a : V a l u e   i : t y p e = " D i a g r a m D i s p l a y N o d e V i e w S t a t e " > < H e i g h t > 1 5 0 < / H e i g h t > < I s E x p a n d e d > t r u e < / I s E x p a n d e d > < W i d t h > 2 0 0 < / W i d t h > < / a : V a l u e > < / a : K e y V a l u e O f D i a g r a m O b j e c t K e y a n y T y p e z b w N T n L X > < a : K e y V a l u e O f D i a g r a m O b j e c t K e y a n y T y p e z b w N T n L X > < a : K e y > < K e y > T a b l e s \ T a b l e 3 \ C o l u m n s \ Q t d e .   S e r v e n t e s < / K e y > < / a : K e y > < a : V a l u e   i : t y p e = " D i a g r a m D i s p l a y N o d e V i e w S t a t e " > < H e i g h t > 1 5 0 < / H e i g h t > < I s E x p a n d e d > t r u e < / I s E x p a n d e d > < W i d t h > 2 0 0 < / W i d t h > < / a : V a l u e > < / a : K e y V a l u e O f D i a g r a m O b j e c t K e y a n y T y p e z b w N T n L X > < a : K e y V a l u e O f D i a g r a m O b j e c t K e y a n y T y p e z b w N T n L X > < a : K e y > < K e y > T a b l e s \ T a b l e 3 \ C o l u m n s \ K i   a j u s t a d o < / K e y > < / a : K e y > < a : V a l u e   i : t y p e = " D i a g r a m D i s p l a y N o d e V i e w S t a t e " > < H e i g h t > 1 5 0 < / H e i g h t > < I s E x p a n d e d > t r u e < / I s E x p a n d e d > < W i d t h > 2 0 0 < / W i d t h > < / a : V a l u e > < / a : K e y V a l u e O f D i a g r a m O b j e c t K e y a n y T y p e z b w N T n L X > < a : K e y V a l u e O f D i a g r a m O b j e c t K e y a n y T y p e z b w N T n L X > < a : K e y > < K e y > T a b l e s \ T a b l e 3 \ C o l u m n s \ Q t e   a j u s t a d a < / K e y > < / a : K e y > < a : V a l u e   i : t y p e = " D i a g r a m D i s p l a y N o d e V i e w S t a t e " > < H e i g h t > 1 5 0 < / H e i g h t > < I s E x p a n d e d > t r u e < / I s E x p a n d e d > < W i d t h > 2 0 0 < / W i d t h > < / a : V a l u e > < / a : K e y V a l u e O f D i a g r a m O b j e c t K e y a n y T y p e z b w N T n L X > < a : K e y V a l u e O f D i a g r a m O b j e c t K e y a n y T y p e z b w N T n L X > < a : K e y > < K e y > T a b l e s \ T a b l e 3 \ C o l u m n s \ P r o d u t i v i d a d e < / K e y > < / a : K e y > < a : V a l u e   i : t y p e = " D i a g r a m D i s p l a y N o d e V i e w S t a t e " > < H e i g h t > 1 5 0 < / H e i g h t > < I s E x p a n d e d > t r u e < / I s E x p a n d e d > < W i d t h > 2 0 0 < / W i d t h > < / a : V a l u e > < / a : K e y V a l u e O f D i a g r a m O b j e c t K e y a n y T y p e z b w N T n L X > < / V i e w S t a t e s > < / D i a g r a m M a n a g e r . S e r i a l i z a b l e D i a g r a m > < / A r r a y O f D i a g r a m M a n a g e r . S e r i a l i z a b l e D i a g r a m > ] ] > < / C u s t o m C o n t e n t > < / G e m i n i > 
</file>

<file path=customXml/item7.xml>��< ? x m l   v e r s i o n = " 1 . 0 "   e n c o d i n g = " U T F - 1 6 " ? > < G e m i n i   x m l n s = " h t t p : / / g e m i n i / p i v o t c u s t o m i z a t i o n / S a n d b o x N o n E m p t y " > < C u s t o m C o n t e n t > < ! [ C D A T A [ 1 ] ] > < / C u s t o m C o n t e n t > < / G e m i n i > 
</file>

<file path=customXml/item8.xml>��< ? x m l   v e r s i o n = " 1 . 0 "   e n c o d i n g = " U T F - 1 6 " ? > < G e m i n i   x m l n s = " h t t p : / / g e m i n i / p i v o t c u s t o m i z a t i o n / R e l a t i o n s h i p A u t o D e t e c t i o n E n a b l e d " > < C u s t o m C o n t e n t > < ! [ C D A T A [ T r u e ] ] > < / C u s t o m C o n t e n t > < / G e m i n i > 
</file>

<file path=customXml/item9.xml>��< ? x m l   v e r s i o n = " 1 . 0 "   e n c o d i n g = " U T F - 1 6 " ? > < G e m i n i   x m l n s = " h t t p : / / g e m i n i / p i v o t c u s t o m i z a t i o n / C l i e n t W i n d o w X M L " > < C u s t o m C o n t e n t > < ! [ C D A T A [ T a b l e 3 ] ] > < / C u s t o m C o n t e n t > < / G e m i n i > 
</file>

<file path=customXml/itemProps1.xml><?xml version="1.0" encoding="utf-8"?>
<ds:datastoreItem xmlns:ds="http://schemas.openxmlformats.org/officeDocument/2006/customXml" ds:itemID="{AF3839CB-EB85-4B93-B2E6-2A84403A12C5}">
  <ds:schemaRefs/>
</ds:datastoreItem>
</file>

<file path=customXml/itemProps10.xml><?xml version="1.0" encoding="utf-8"?>
<ds:datastoreItem xmlns:ds="http://schemas.openxmlformats.org/officeDocument/2006/customXml" ds:itemID="{4221D6DA-6518-4041-9D3B-13E6A4AC98E7}">
  <ds:schemaRefs/>
</ds:datastoreItem>
</file>

<file path=customXml/itemProps11.xml><?xml version="1.0" encoding="utf-8"?>
<ds:datastoreItem xmlns:ds="http://schemas.openxmlformats.org/officeDocument/2006/customXml" ds:itemID="{44A77694-12D2-45C6-BC21-B74C17479B00}">
  <ds:schemaRefs/>
</ds:datastoreItem>
</file>

<file path=customXml/itemProps12.xml><?xml version="1.0" encoding="utf-8"?>
<ds:datastoreItem xmlns:ds="http://schemas.openxmlformats.org/officeDocument/2006/customXml" ds:itemID="{D24CE791-0A0A-4653-9537-015962008E36}">
  <ds:schemaRefs/>
</ds:datastoreItem>
</file>

<file path=customXml/itemProps13.xml><?xml version="1.0" encoding="utf-8"?>
<ds:datastoreItem xmlns:ds="http://schemas.openxmlformats.org/officeDocument/2006/customXml" ds:itemID="{FE54B4C3-285F-47A7-802F-1DF735C12624}">
  <ds:schemaRefs/>
</ds:datastoreItem>
</file>

<file path=customXml/itemProps14.xml><?xml version="1.0" encoding="utf-8"?>
<ds:datastoreItem xmlns:ds="http://schemas.openxmlformats.org/officeDocument/2006/customXml" ds:itemID="{B16AAB40-06F4-435D-8AEF-E5DD6D81CDCA}">
  <ds:schemaRefs/>
</ds:datastoreItem>
</file>

<file path=customXml/itemProps15.xml><?xml version="1.0" encoding="utf-8"?>
<ds:datastoreItem xmlns:ds="http://schemas.openxmlformats.org/officeDocument/2006/customXml" ds:itemID="{5F29046F-1CBC-4FD4-80CF-724367A55723}">
  <ds:schemaRefs/>
</ds:datastoreItem>
</file>

<file path=customXml/itemProps16.xml><?xml version="1.0" encoding="utf-8"?>
<ds:datastoreItem xmlns:ds="http://schemas.openxmlformats.org/officeDocument/2006/customXml" ds:itemID="{E7DDFF85-C6C0-4AA7-BEBD-C27D20512296}">
  <ds:schemaRefs/>
</ds:datastoreItem>
</file>

<file path=customXml/itemProps17.xml><?xml version="1.0" encoding="utf-8"?>
<ds:datastoreItem xmlns:ds="http://schemas.openxmlformats.org/officeDocument/2006/customXml" ds:itemID="{9BACF4D7-AB33-456E-B4D8-64981D96218B}">
  <ds:schemaRefs/>
</ds:datastoreItem>
</file>

<file path=customXml/itemProps2.xml><?xml version="1.0" encoding="utf-8"?>
<ds:datastoreItem xmlns:ds="http://schemas.openxmlformats.org/officeDocument/2006/customXml" ds:itemID="{7AF3AD75-BA31-4F4A-984F-395A7399A996}">
  <ds:schemaRefs/>
</ds:datastoreItem>
</file>

<file path=customXml/itemProps3.xml><?xml version="1.0" encoding="utf-8"?>
<ds:datastoreItem xmlns:ds="http://schemas.openxmlformats.org/officeDocument/2006/customXml" ds:itemID="{D59F7F65-5792-4AFD-807E-6EF0ED8CC599}">
  <ds:schemaRefs/>
</ds:datastoreItem>
</file>

<file path=customXml/itemProps4.xml><?xml version="1.0" encoding="utf-8"?>
<ds:datastoreItem xmlns:ds="http://schemas.openxmlformats.org/officeDocument/2006/customXml" ds:itemID="{D60EC4F2-A7A0-467F-9B3F-475B4E9FD7CF}">
  <ds:schemaRefs/>
</ds:datastoreItem>
</file>

<file path=customXml/itemProps5.xml><?xml version="1.0" encoding="utf-8"?>
<ds:datastoreItem xmlns:ds="http://schemas.openxmlformats.org/officeDocument/2006/customXml" ds:itemID="{3E7DADF5-98D3-409D-B380-09EE56B84F94}">
  <ds:schemaRefs/>
</ds:datastoreItem>
</file>

<file path=customXml/itemProps6.xml><?xml version="1.0" encoding="utf-8"?>
<ds:datastoreItem xmlns:ds="http://schemas.openxmlformats.org/officeDocument/2006/customXml" ds:itemID="{3D0EB289-6ADA-4ABF-954F-CBB24501EBB1}">
  <ds:schemaRefs/>
</ds:datastoreItem>
</file>

<file path=customXml/itemProps7.xml><?xml version="1.0" encoding="utf-8"?>
<ds:datastoreItem xmlns:ds="http://schemas.openxmlformats.org/officeDocument/2006/customXml" ds:itemID="{46933E33-13A0-4B69-B2FA-6AAEDB07CE8E}">
  <ds:schemaRefs/>
</ds:datastoreItem>
</file>

<file path=customXml/itemProps8.xml><?xml version="1.0" encoding="utf-8"?>
<ds:datastoreItem xmlns:ds="http://schemas.openxmlformats.org/officeDocument/2006/customXml" ds:itemID="{32804E0E-2ECA-4E83-87CF-BB27BCF3B2F6}">
  <ds:schemaRefs/>
</ds:datastoreItem>
</file>

<file path=customXml/itemProps9.xml><?xml version="1.0" encoding="utf-8"?>
<ds:datastoreItem xmlns:ds="http://schemas.openxmlformats.org/officeDocument/2006/customXml" ds:itemID="{102A8123-E0B1-4E0D-AFB0-8D7CF46718C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11</vt:i4>
      </vt:variant>
      <vt:variant>
        <vt:lpstr>Intervalos nomeados</vt:lpstr>
      </vt:variant>
      <vt:variant>
        <vt:i4>29</vt:i4>
      </vt:variant>
    </vt:vector>
  </HeadingPairs>
  <TitlesOfParts>
    <vt:vector size="40" baseType="lpstr">
      <vt:lpstr>Servente</vt:lpstr>
      <vt:lpstr>Encarregado (Líder)</vt:lpstr>
      <vt:lpstr>ASG sem Insalubridade</vt:lpstr>
      <vt:lpstr>Encarregado</vt:lpstr>
      <vt:lpstr>ASG com Insalubridade (40%)</vt:lpstr>
      <vt:lpstr>Uniformes e EPI</vt:lpstr>
      <vt:lpstr>Equipamentos</vt:lpstr>
      <vt:lpstr>Materiais</vt:lpstr>
      <vt:lpstr>Ambientes</vt:lpstr>
      <vt:lpstr>Tipos de Área e Produtivida</vt:lpstr>
      <vt:lpstr>Valor Total da Contratação</vt:lpstr>
      <vt:lpstr>Encarregado!_1A</vt:lpstr>
      <vt:lpstr>Servente!_1A</vt:lpstr>
      <vt:lpstr>Encarregado!_1B</vt:lpstr>
      <vt:lpstr>Servente!_1B</vt:lpstr>
      <vt:lpstr>Encarregado!_1C</vt:lpstr>
      <vt:lpstr>Servente!_1C</vt:lpstr>
      <vt:lpstr>Encarregado!_1D</vt:lpstr>
      <vt:lpstr>Servente!_1D</vt:lpstr>
      <vt:lpstr>Encarregado!_1E</vt:lpstr>
      <vt:lpstr>Servente!_1E</vt:lpstr>
      <vt:lpstr>Encarregado!_1F</vt:lpstr>
      <vt:lpstr>Servente!_1F</vt:lpstr>
      <vt:lpstr>Encarregado!_2.1A</vt:lpstr>
      <vt:lpstr>Servente!_2.1A</vt:lpstr>
      <vt:lpstr>Encarregado!_2.1B</vt:lpstr>
      <vt:lpstr>Servente!_2.1B</vt:lpstr>
      <vt:lpstr>Encarregado!_2.3A</vt:lpstr>
      <vt:lpstr>Servente!_2.3A</vt:lpstr>
      <vt:lpstr>Encarregado!_2.3B</vt:lpstr>
      <vt:lpstr>Servente!_2.3B</vt:lpstr>
      <vt:lpstr>Encarregado!_2.3C</vt:lpstr>
      <vt:lpstr>Servente!_2.3C</vt:lpstr>
      <vt:lpstr>Encarregado!_2.3D</vt:lpstr>
      <vt:lpstr>Servente!_2.3D</vt:lpstr>
      <vt:lpstr>Ambientes!Area_de_impressao</vt:lpstr>
      <vt:lpstr>Encarregado!Salário_Normativo_da_Categoria_Profissional</vt:lpstr>
      <vt:lpstr>Servente!Salário_Normativo_da_Categoria_Profissional</vt:lpstr>
      <vt:lpstr>Encarregado!SalarioBase</vt:lpstr>
      <vt:lpstr>Servente!SalarioBase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Carlos</dc:creator>
  <cp:lastModifiedBy>Usuário do Windows</cp:lastModifiedBy>
  <dcterms:created xsi:type="dcterms:W3CDTF">2019-02-19T21:25:00Z</dcterms:created>
  <dcterms:modified xsi:type="dcterms:W3CDTF">2020-04-29T13:51:32Z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1046-11.2.0.9255</vt:lpwstr>
  </property>
</Properties>
</file>