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comments1.xml" ContentType="application/vnd.openxmlformats-officedocument.spreadsheetml.comments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comments2.xml" ContentType="application/vnd.openxmlformats-officedocument.spreadsheetml.comments+xml"/>
  <Override PartName="/xl/tables/table47.xml" ContentType="application/vnd.openxmlformats-officedocument.spreadsheetml.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showInkAnnotation="0" hidePivotFieldList="1"/>
  <mc:AlternateContent xmlns:mc="http://schemas.openxmlformats.org/markup-compatibility/2006">
    <mc:Choice Requires="x15">
      <x15ac:absPath xmlns:x15ac="http://schemas.microsoft.com/office/spreadsheetml/2010/11/ac" url="D:\CCL 2022\Demandas 2022\(Pregão) Limpeza e Conservação\Pregão Eletrônico 21_2022 (158281) - IFPB_ES (Serviços de Limpeza)\"/>
    </mc:Choice>
  </mc:AlternateContent>
  <xr:revisionPtr revIDLastSave="0" documentId="13_ncr:1_{AD996C76-5223-4421-A565-61311D3EA3CC}" xr6:coauthVersionLast="47" xr6:coauthVersionMax="47" xr10:uidLastSave="{00000000-0000-0000-0000-000000000000}"/>
  <bookViews>
    <workbookView xWindow="-120" yWindow="-120" windowWidth="20730" windowHeight="11040" firstSheet="2" activeTab="2" xr2:uid="{00000000-000D-0000-FFFF-FFFF00000000}"/>
  </bookViews>
  <sheets>
    <sheet name="Servente" sheetId="18" state="hidden" r:id="rId1"/>
    <sheet name="Encarregado" sheetId="19" state="hidden" r:id="rId2"/>
    <sheet name="Quadro Resumo" sheetId="52" r:id="rId3"/>
    <sheet name="ASG" sheetId="44" r:id="rId4"/>
    <sheet name="ENCARREADO" sheetId="47" r:id="rId5"/>
    <sheet name="Materiais e Equipamentos" sheetId="14" r:id="rId6"/>
    <sheet name="Uniformes" sheetId="27" r:id="rId7"/>
    <sheet name="Áreas e Produtividade" sheetId="34" r:id="rId8"/>
  </sheets>
  <definedNames>
    <definedName name="__xlcn.WorksheetConnection_PlanilhaLimpeza.xlsxTable3" localSheetId="3" hidden="1">Table3</definedName>
    <definedName name="__xlcn.WorksheetConnection_PlanilhaLimpeza.xlsxTable3" localSheetId="4" hidden="1">Table3</definedName>
    <definedName name="__xlcn.WorksheetConnection_PlanilhaLimpeza.xlsxTable3" localSheetId="2" hidden="1">Table3</definedName>
    <definedName name="__xlcn.WorksheetConnection_PlanilhaLimpeza.xlsxTable3" hidden="1">Table3</definedName>
    <definedName name="_1A" localSheetId="1">Encarregado!$D$11</definedName>
    <definedName name="_1A" localSheetId="0">Servente!$D$11</definedName>
    <definedName name="_1A">#REF!</definedName>
    <definedName name="_1B" localSheetId="1">Encarregado!$D$12</definedName>
    <definedName name="_1B" localSheetId="0">Servente!$D$12</definedName>
    <definedName name="_1B">#REF!</definedName>
    <definedName name="_1C" localSheetId="1">Encarregado!$D$13</definedName>
    <definedName name="_1C" localSheetId="0">Servente!$D$13</definedName>
    <definedName name="_1C">#REF!</definedName>
    <definedName name="_1D" localSheetId="1">Encarregado!$D$14</definedName>
    <definedName name="_1D" localSheetId="0">Servente!$D$14</definedName>
    <definedName name="_1D">#REF!</definedName>
    <definedName name="_1E" localSheetId="1">Encarregado!$D$15</definedName>
    <definedName name="_1E" localSheetId="0">Servente!$D$15</definedName>
    <definedName name="_1E">#REF!</definedName>
    <definedName name="_1F" localSheetId="1">Encarregado!$D$16</definedName>
    <definedName name="_1F" localSheetId="0">Servente!$D$16</definedName>
    <definedName name="_1F">#REF!</definedName>
    <definedName name="_2.1A" localSheetId="1">Encarregado!$D$22</definedName>
    <definedName name="_2.1A" localSheetId="0">Servente!$D$22</definedName>
    <definedName name="_2.1A">#REF!</definedName>
    <definedName name="_2.1B" localSheetId="1">Encarregado!$D$23</definedName>
    <definedName name="_2.1B" localSheetId="0">Servente!$D$23</definedName>
    <definedName name="_2.1B">#REF!</definedName>
    <definedName name="_2.3A" localSheetId="1">Encarregado!$D$49</definedName>
    <definedName name="_2.3A" localSheetId="0">Servente!$D$49</definedName>
    <definedName name="_2.3A">#REF!</definedName>
    <definedName name="_2.3B" localSheetId="1">Encarregado!$D$50</definedName>
    <definedName name="_2.3B" localSheetId="0">Servente!$D$50</definedName>
    <definedName name="_2.3B">#REF!</definedName>
    <definedName name="_2.3C" localSheetId="1">Encarregado!$D$51</definedName>
    <definedName name="_2.3C" localSheetId="0">Servente!$D$51</definedName>
    <definedName name="_2.3C">#REF!</definedName>
    <definedName name="_2.3D" localSheetId="1">Encarregado!$D$52</definedName>
    <definedName name="_2.3D" localSheetId="0">Servente!$D$52</definedName>
    <definedName name="_2.3D">#REF!</definedName>
    <definedName name="_xlnm.Print_Area" localSheetId="7">'Áreas e Produtividade'!$A$1:$I$14</definedName>
    <definedName name="_xlnm.Print_Area" localSheetId="5">'Materiais e Equipamentos'!$A$1:$P$77</definedName>
    <definedName name="_xlnm.Print_Area" localSheetId="2">'Quadro Resumo'!$A$1:$H$6</definedName>
    <definedName name="_xlnm.Print_Area" localSheetId="6">Uniformes!$A$1:$R$21</definedName>
    <definedName name="Salário_Normativo_da_Categoria_Profissional" localSheetId="1">Encarregado!$D$5</definedName>
    <definedName name="Salário_Normativo_da_Categoria_Profissional" localSheetId="0">Servente!$D$5</definedName>
    <definedName name="Salário_Normativo_da_Categoria_Profissional">#REF!</definedName>
    <definedName name="SalarioBase" localSheetId="1">Encarregado!$D$5</definedName>
    <definedName name="SalarioBase" localSheetId="0">Servente!$D$5</definedName>
    <definedName name="SalarioBase">#REF!</definedName>
    <definedName name="teste" localSheetId="4" hidden="1">Table3</definedName>
    <definedName name="teste" localSheetId="2" hidden="1">Table3</definedName>
    <definedName name="teste" hidden="1">Table3</definedName>
    <definedName name="Total1" localSheetId="1">Encarregado!#REF!</definedName>
    <definedName name="Total1" localSheetId="0">Servente!#REF!</definedName>
    <definedName name="Total1">#REF!</definedName>
    <definedName name="Total2.1" localSheetId="1">Encarregado!#REF!</definedName>
    <definedName name="Total2.1" localSheetId="0">Servente!#REF!</definedName>
    <definedName name="Total2.1">#REF!</definedName>
    <definedName name="Total2.2" localSheetId="1">Encarregado!#REF!</definedName>
    <definedName name="Total2.2" localSheetId="0">Servente!#REF!</definedName>
    <definedName name="Total2.2">#REF!</definedName>
    <definedName name="Total2.3" localSheetId="1">Encarregado!#REF!</definedName>
    <definedName name="Total2.3" localSheetId="0">Servente!#REF!</definedName>
    <definedName name="Total2.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7" i="14" l="1"/>
  <c r="F75" i="14"/>
  <c r="F74" i="14"/>
  <c r="F73" i="14"/>
  <c r="F72" i="14"/>
  <c r="F33" i="14"/>
  <c r="F4" i="14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3" i="14"/>
  <c r="F4" i="27"/>
  <c r="F10" i="27" s="1"/>
  <c r="F5" i="27"/>
  <c r="F6" i="27"/>
  <c r="F7" i="27"/>
  <c r="F8" i="27"/>
  <c r="F9" i="27"/>
  <c r="F3" i="27"/>
  <c r="F61" i="14" l="1"/>
  <c r="D4" i="34" l="1"/>
  <c r="E4" i="34"/>
  <c r="E3" i="34"/>
  <c r="D3" i="34"/>
  <c r="C9" i="34" l="1"/>
  <c r="C8" i="34"/>
  <c r="C7" i="34"/>
  <c r="C5" i="34"/>
  <c r="C4" i="34"/>
  <c r="C3" i="34"/>
  <c r="C6" i="34"/>
  <c r="C10" i="34" l="1"/>
  <c r="F56" i="14"/>
  <c r="F3" i="52"/>
  <c r="F54" i="14"/>
  <c r="F55" i="14"/>
  <c r="F52" i="14"/>
  <c r="F53" i="14"/>
  <c r="F51" i="14"/>
  <c r="F69" i="14" l="1"/>
  <c r="F64" i="14"/>
  <c r="F62" i="14"/>
  <c r="F70" i="14"/>
  <c r="F67" i="14"/>
  <c r="F65" i="14"/>
  <c r="F68" i="14"/>
  <c r="F71" i="14"/>
  <c r="F63" i="14"/>
  <c r="F66" i="14"/>
  <c r="I50" i="44" l="1"/>
  <c r="D47" i="44" s="1"/>
  <c r="D52" i="44" s="1"/>
  <c r="I51" i="47"/>
  <c r="D47" i="47" s="1"/>
  <c r="D52" i="47" s="1"/>
  <c r="D57" i="47" l="1"/>
  <c r="C106" i="47"/>
  <c r="C83" i="47"/>
  <c r="C79" i="47"/>
  <c r="C63" i="47"/>
  <c r="C43" i="47"/>
  <c r="C66" i="47" s="1"/>
  <c r="C32" i="47"/>
  <c r="D19" i="47"/>
  <c r="D25" i="47" s="1"/>
  <c r="C106" i="44"/>
  <c r="C83" i="44"/>
  <c r="C79" i="44"/>
  <c r="C63" i="44"/>
  <c r="D57" i="44"/>
  <c r="C43" i="44"/>
  <c r="C66" i="44" s="1"/>
  <c r="C32" i="44"/>
  <c r="D19" i="44"/>
  <c r="D25" i="44" s="1"/>
  <c r="D82" i="47" l="1"/>
  <c r="D83" i="47" s="1"/>
  <c r="D87" i="47" s="1"/>
  <c r="D110" i="47"/>
  <c r="D65" i="47"/>
  <c r="D62" i="47"/>
  <c r="D31" i="47"/>
  <c r="D78" i="47"/>
  <c r="D67" i="47"/>
  <c r="D64" i="47"/>
  <c r="D30" i="47"/>
  <c r="D32" i="47" s="1"/>
  <c r="D55" i="47" s="1"/>
  <c r="D63" i="47"/>
  <c r="D66" i="47"/>
  <c r="C68" i="47"/>
  <c r="D78" i="44"/>
  <c r="D67" i="44"/>
  <c r="D64" i="44"/>
  <c r="D82" i="44"/>
  <c r="D83" i="44" s="1"/>
  <c r="D87" i="44" s="1"/>
  <c r="D31" i="44"/>
  <c r="D110" i="44"/>
  <c r="D65" i="44"/>
  <c r="D62" i="44"/>
  <c r="D30" i="44"/>
  <c r="D63" i="44"/>
  <c r="D66" i="44"/>
  <c r="C68" i="44"/>
  <c r="D32" i="44" l="1"/>
  <c r="D40" i="44" s="1"/>
  <c r="D37" i="47"/>
  <c r="D36" i="47"/>
  <c r="D42" i="47"/>
  <c r="D40" i="47"/>
  <c r="D41" i="47"/>
  <c r="D35" i="47"/>
  <c r="D68" i="47"/>
  <c r="D39" i="47"/>
  <c r="D38" i="47"/>
  <c r="D68" i="44"/>
  <c r="D55" i="44" l="1"/>
  <c r="D36" i="44"/>
  <c r="D42" i="44"/>
  <c r="D41" i="44"/>
  <c r="D39" i="44"/>
  <c r="D37" i="44"/>
  <c r="D35" i="44"/>
  <c r="D38" i="44"/>
  <c r="D112" i="47"/>
  <c r="D43" i="47"/>
  <c r="D56" i="47" s="1"/>
  <c r="D58" i="47" s="1"/>
  <c r="D111" i="47" s="1"/>
  <c r="D112" i="44"/>
  <c r="D43" i="44" l="1"/>
  <c r="D56" i="44" s="1"/>
  <c r="D58" i="44" s="1"/>
  <c r="D111" i="44"/>
  <c r="D74" i="44"/>
  <c r="D76" i="44"/>
  <c r="D73" i="44"/>
  <c r="D75" i="47"/>
  <c r="D73" i="47"/>
  <c r="D74" i="47"/>
  <c r="D77" i="47"/>
  <c r="D76" i="47"/>
  <c r="D77" i="44"/>
  <c r="D75" i="44"/>
  <c r="D79" i="44" l="1"/>
  <c r="D86" i="44" s="1"/>
  <c r="D88" i="44" s="1"/>
  <c r="D113" i="44" s="1"/>
  <c r="D79" i="47"/>
  <c r="D86" i="47" s="1"/>
  <c r="D88" i="47" s="1"/>
  <c r="D113" i="47" s="1"/>
  <c r="E9" i="34" l="1"/>
  <c r="D9" i="34"/>
  <c r="E8" i="34"/>
  <c r="D8" i="34"/>
  <c r="E7" i="34"/>
  <c r="D7" i="34"/>
  <c r="E6" i="34"/>
  <c r="D6" i="34"/>
  <c r="E5" i="34"/>
  <c r="D5" i="34"/>
  <c r="F50" i="14" l="1"/>
  <c r="F32" i="14"/>
  <c r="F35" i="14"/>
  <c r="F39" i="14"/>
  <c r="F43" i="14"/>
  <c r="F47" i="14"/>
  <c r="F31" i="14"/>
  <c r="F34" i="14"/>
  <c r="F38" i="14"/>
  <c r="F42" i="14"/>
  <c r="F46" i="14"/>
  <c r="F37" i="14"/>
  <c r="F41" i="14"/>
  <c r="F45" i="14"/>
  <c r="F49" i="14"/>
  <c r="F36" i="14"/>
  <c r="F40" i="14"/>
  <c r="F44" i="14"/>
  <c r="F48" i="14"/>
  <c r="F27" i="14" l="1"/>
  <c r="F57" i="14"/>
  <c r="D11" i="18"/>
  <c r="D17" i="18" s="1"/>
  <c r="C35" i="18"/>
  <c r="D50" i="18"/>
  <c r="D65" i="18"/>
  <c r="C96" i="18"/>
  <c r="D107" i="18"/>
  <c r="D112" i="18" s="1"/>
  <c r="D117" i="18"/>
  <c r="D118" i="18"/>
  <c r="D119" i="18"/>
  <c r="D120" i="18"/>
  <c r="D121" i="18"/>
  <c r="D147" i="18" s="1"/>
  <c r="C132" i="18"/>
  <c r="C133" i="18"/>
  <c r="C135" i="18"/>
  <c r="C136" i="18"/>
  <c r="C137" i="18"/>
  <c r="D11" i="19"/>
  <c r="D17" i="19" s="1"/>
  <c r="D73" i="19" s="1"/>
  <c r="C35" i="19"/>
  <c r="C41" i="19"/>
  <c r="D50" i="19"/>
  <c r="D64" i="19"/>
  <c r="C96" i="19"/>
  <c r="D107" i="19"/>
  <c r="D112" i="19" s="1"/>
  <c r="D117" i="19"/>
  <c r="D121" i="19"/>
  <c r="D147" i="19" s="1"/>
  <c r="C132" i="19"/>
  <c r="C133" i="19"/>
  <c r="C135" i="19"/>
  <c r="C136" i="19"/>
  <c r="C137" i="19"/>
  <c r="D144" i="19"/>
  <c r="D145" i="19"/>
  <c r="C134" i="19"/>
  <c r="C134" i="18"/>
  <c r="D49" i="19" l="1"/>
  <c r="D54" i="19" s="1"/>
  <c r="D65" i="19" s="1"/>
  <c r="G25" i="18"/>
  <c r="D94" i="18" s="1"/>
  <c r="D22" i="18"/>
  <c r="D143" i="18"/>
  <c r="D23" i="18"/>
  <c r="D143" i="19"/>
  <c r="G25" i="19"/>
  <c r="D94" i="19" s="1"/>
  <c r="D23" i="19"/>
  <c r="D22" i="19"/>
  <c r="F11" i="27"/>
  <c r="G4" i="52" l="1"/>
  <c r="H4" i="52" s="1"/>
  <c r="D92" i="47"/>
  <c r="D96" i="47" s="1"/>
  <c r="D114" i="47" s="1"/>
  <c r="D115" i="47" s="1"/>
  <c r="D100" i="47" s="1"/>
  <c r="D92" i="44"/>
  <c r="D96" i="44" s="1"/>
  <c r="D114" i="44" s="1"/>
  <c r="D115" i="44" s="1"/>
  <c r="D100" i="44" s="1"/>
  <c r="D24" i="19"/>
  <c r="D40" i="19" s="1"/>
  <c r="D24" i="18"/>
  <c r="D63" i="18" s="1"/>
  <c r="D75" i="18" s="1"/>
  <c r="D34" i="19"/>
  <c r="D35" i="19"/>
  <c r="D101" i="44" l="1"/>
  <c r="D103" i="44" s="1"/>
  <c r="D101" i="47"/>
  <c r="D104" i="47" s="1"/>
  <c r="D37" i="19"/>
  <c r="D36" i="19"/>
  <c r="D33" i="19"/>
  <c r="D38" i="19"/>
  <c r="G24" i="19"/>
  <c r="D95" i="19" s="1"/>
  <c r="D63" i="19"/>
  <c r="D70" i="19" s="1"/>
  <c r="D39" i="19"/>
  <c r="D36" i="18"/>
  <c r="D38" i="18"/>
  <c r="D37" i="18"/>
  <c r="D33" i="18"/>
  <c r="D34" i="18"/>
  <c r="D70" i="18"/>
  <c r="D35" i="18"/>
  <c r="D39" i="18"/>
  <c r="G24" i="18"/>
  <c r="D90" i="18" s="1"/>
  <c r="D40" i="18"/>
  <c r="D71" i="18" s="1"/>
  <c r="D71" i="19"/>
  <c r="D72" i="19"/>
  <c r="D74" i="19"/>
  <c r="D93" i="19"/>
  <c r="D75" i="19" l="1"/>
  <c r="D104" i="44"/>
  <c r="D105" i="44"/>
  <c r="D103" i="47"/>
  <c r="D105" i="47"/>
  <c r="D92" i="18"/>
  <c r="D92" i="19"/>
  <c r="D91" i="19"/>
  <c r="D90" i="19"/>
  <c r="D93" i="18"/>
  <c r="D91" i="18"/>
  <c r="D72" i="18"/>
  <c r="D41" i="18"/>
  <c r="D64" i="18" s="1"/>
  <c r="D66" i="18" s="1"/>
  <c r="D144" i="18" s="1"/>
  <c r="D95" i="18"/>
  <c r="D74" i="18"/>
  <c r="D106" i="44" l="1"/>
  <c r="D116" i="44" s="1"/>
  <c r="D117" i="44" s="1"/>
  <c r="D106" i="47"/>
  <c r="D116" i="47" s="1"/>
  <c r="D117" i="47" s="1"/>
  <c r="D96" i="19"/>
  <c r="D111" i="19" s="1"/>
  <c r="D113" i="19" s="1"/>
  <c r="D146" i="19" s="1"/>
  <c r="D148" i="19" s="1"/>
  <c r="D73" i="18"/>
  <c r="D76" i="18" s="1"/>
  <c r="D145" i="18" s="1"/>
  <c r="D132" i="18" s="1"/>
  <c r="D96" i="18"/>
  <c r="D111" i="18" s="1"/>
  <c r="D113" i="18" s="1"/>
  <c r="D146" i="18" s="1"/>
  <c r="G4" i="34" l="1"/>
  <c r="G3" i="34"/>
  <c r="G5" i="34"/>
  <c r="G6" i="34"/>
  <c r="G9" i="34"/>
  <c r="G7" i="34"/>
  <c r="G8" i="34"/>
  <c r="F3" i="34"/>
  <c r="H3" i="34" s="1"/>
  <c r="F4" i="34"/>
  <c r="F7" i="34"/>
  <c r="F6" i="34"/>
  <c r="F5" i="34"/>
  <c r="F8" i="34"/>
  <c r="F9" i="34"/>
  <c r="D132" i="19"/>
  <c r="D133" i="19" s="1"/>
  <c r="D150" i="19" s="1"/>
  <c r="D148" i="18"/>
  <c r="D133" i="18"/>
  <c r="D150" i="18" s="1"/>
  <c r="D138" i="18"/>
  <c r="D149" i="18" s="1"/>
  <c r="H6" i="34" l="1"/>
  <c r="H5" i="34"/>
  <c r="H9" i="34"/>
  <c r="H4" i="34"/>
  <c r="D138" i="19"/>
  <c r="D149" i="19" s="1"/>
  <c r="H8" i="34"/>
  <c r="H7" i="34"/>
  <c r="D134" i="18"/>
  <c r="D136" i="18"/>
  <c r="D135" i="18"/>
  <c r="D137" i="18"/>
  <c r="D134" i="19"/>
  <c r="D135" i="19"/>
  <c r="D137" i="19"/>
  <c r="D136" i="19"/>
  <c r="I9" i="34" l="1"/>
  <c r="I4" i="34"/>
  <c r="I8" i="34"/>
  <c r="I5" i="34"/>
  <c r="I6" i="34"/>
  <c r="I3" i="34"/>
  <c r="I7" i="34" l="1"/>
  <c r="I10" i="34" s="1"/>
  <c r="I11" i="34" s="1"/>
  <c r="G3" i="52" l="1"/>
  <c r="H3" i="52" s="1"/>
  <c r="H5" i="52" s="1"/>
  <c r="H6" i="5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Carlos</author>
  </authors>
  <commentList>
    <comment ref="G16" authorId="0" shapeId="0" xr:uid="{00000000-0006-0000-0000-000001000000}">
      <text>
        <r>
          <rPr>
            <b/>
            <sz val="9"/>
            <rFont val="Tahoma"/>
            <family val="2"/>
          </rPr>
          <t>Daniel Carlos:</t>
        </r>
        <r>
          <rPr>
            <sz val="9"/>
            <rFont val="Tahoma"/>
            <family val="2"/>
          </rPr>
          <t xml:space="preserve">
Valores que constam no caderno técnico. A unidade deve realizar pesquisa de mercado para o levantamento do percentual médio destas rubricas.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Carlos</author>
  </authors>
  <commentList>
    <comment ref="G16" authorId="0" shapeId="0" xr:uid="{00000000-0006-0000-0100-000001000000}">
      <text>
        <r>
          <rPr>
            <b/>
            <sz val="9"/>
            <rFont val="Tahoma"/>
            <family val="2"/>
          </rPr>
          <t>Daniel Carlos:</t>
        </r>
        <r>
          <rPr>
            <sz val="9"/>
            <rFont val="Tahoma"/>
            <family val="2"/>
          </rPr>
          <t xml:space="preserve">
Valores que constam no caderno técnico. A unidade deve realizar pesquisa de mercado para o levantamento do percentual médio destas rubricas.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Carlos</author>
  </authors>
  <commentList>
    <comment ref="G2" authorId="0" shapeId="0" xr:uid="{00000000-0006-0000-0700-000001000000}">
      <text>
        <r>
          <rPr>
            <b/>
            <sz val="9"/>
            <rFont val="Tahoma"/>
            <family val="2"/>
          </rPr>
          <t>Daniel Carlos:</t>
        </r>
        <r>
          <rPr>
            <sz val="9"/>
            <rFont val="Tahoma"/>
            <family val="2"/>
          </rPr>
          <t xml:space="preserve">
Remover os valores desta coluna, caso se opte pela não utilização do encarregado.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WorksheetConnection_Planilha Limpeza.xlsx!Table3" type="5" refreshedVersion="0" background="1" saveData="1">
    <dbPr connection=""/>
  </connection>
</connections>
</file>

<file path=xl/sharedStrings.xml><?xml version="1.0" encoding="utf-8"?>
<sst xmlns="http://schemas.openxmlformats.org/spreadsheetml/2006/main" count="1243" uniqueCount="379">
  <si>
    <t>Dados para composição dos custos referentes a mão de obra</t>
  </si>
  <si>
    <t>Dados Gerais</t>
  </si>
  <si>
    <t>Item</t>
  </si>
  <si>
    <t>Descrição</t>
  </si>
  <si>
    <t>Comentário</t>
  </si>
  <si>
    <t>Valor</t>
  </si>
  <si>
    <t xml:space="preserve">Tipo de Serviço </t>
  </si>
  <si>
    <t>Limpeza</t>
  </si>
  <si>
    <t>Valor do Vale Transporte</t>
  </si>
  <si>
    <t>Classificação Brasileira de Ocupações (CBO)</t>
  </si>
  <si>
    <t xml:space="preserve">5143-20 </t>
  </si>
  <si>
    <t>Valor do Auxílio Alimentação</t>
  </si>
  <si>
    <t>Salário Normativo da Categoria Profissional</t>
  </si>
  <si>
    <t>CCT PB000199/2019 (Grupo 01)</t>
  </si>
  <si>
    <t>Dias de Trabalho no mês</t>
  </si>
  <si>
    <t>Categoria Profissional</t>
  </si>
  <si>
    <t xml:space="preserve"> CCT PB000199/2019</t>
  </si>
  <si>
    <t>Servente de Limpeza</t>
  </si>
  <si>
    <t>RAT x SAT</t>
  </si>
  <si>
    <t>Data-Base da Categoria</t>
  </si>
  <si>
    <t>01 de Janeiro</t>
  </si>
  <si>
    <t>Dados sobre Desligamento</t>
  </si>
  <si>
    <t>Módulo 1 - Composição da Remuneração</t>
  </si>
  <si>
    <t>Tipos</t>
  </si>
  <si>
    <t>Percentual</t>
  </si>
  <si>
    <t>1</t>
  </si>
  <si>
    <t>Composição da Remuneração</t>
  </si>
  <si>
    <t>SEM justa causa - AP INDENIZADO</t>
  </si>
  <si>
    <t>A</t>
  </si>
  <si>
    <t>Salário-Base</t>
  </si>
  <si>
    <t>SEM justa causa - AP TRABALHADO</t>
  </si>
  <si>
    <t>B</t>
  </si>
  <si>
    <t>Adicional de Periculosidade</t>
  </si>
  <si>
    <t>Demissões COM justa causa</t>
  </si>
  <si>
    <t>C</t>
  </si>
  <si>
    <t>Adicional de Insalubridade</t>
  </si>
  <si>
    <t>D</t>
  </si>
  <si>
    <t>Adicional Noturno</t>
  </si>
  <si>
    <t>CITL</t>
  </si>
  <si>
    <t>E</t>
  </si>
  <si>
    <t>Adicional de Hora Noturna Reduzida</t>
  </si>
  <si>
    <t>F</t>
  </si>
  <si>
    <t>Outros (especificar)</t>
  </si>
  <si>
    <t>Custos indiretos</t>
  </si>
  <si>
    <t>Total</t>
  </si>
  <si>
    <t>Lucro</t>
  </si>
  <si>
    <t>PIS</t>
  </si>
  <si>
    <t>Módulo 2 - Encargos e Benefícios Anuais, Mensais e Diários</t>
  </si>
  <si>
    <t>COFINS</t>
  </si>
  <si>
    <t> Submódulo 2.1 - 13º (décimo terceiro) Salário e Adicional de Férias</t>
  </si>
  <si>
    <t>ISS</t>
  </si>
  <si>
    <t>2.1</t>
  </si>
  <si>
    <t>13º (décimo terceiro) Salário e Adicional de Férias</t>
  </si>
  <si>
    <t>13º (décimo terceiro) Salário</t>
  </si>
  <si>
    <t>Base de Cálculo para o Custo do Profissional Ausente</t>
  </si>
  <si>
    <t>Adicional de Férias</t>
  </si>
  <si>
    <t>BCPPA</t>
  </si>
  <si>
    <t>BCPPA (Afastamento Maternidade)</t>
  </si>
  <si>
    <t>Memória de Cálculo - Submódulo 2.1</t>
  </si>
  <si>
    <t>Rubrica</t>
  </si>
  <si>
    <t>Base de Cálculo</t>
  </si>
  <si>
    <t>Memória de Cálculo</t>
  </si>
  <si>
    <t>13 º (décimo terceiro) Salário</t>
  </si>
  <si>
    <t>Módulo 1 (Total)</t>
  </si>
  <si>
    <t>8,33%  x Base de Cálculo, Sendo 8,33% = 1 ÷ 12</t>
  </si>
  <si>
    <t>Base de Cálculo x (1 ÷ 3)</t>
  </si>
  <si>
    <t>Submódulo 2.2 - Encargos Previdenciários (GPS), Fundo de Garantia por Tempo de Serviço (FGTS) e outras contribuições.</t>
  </si>
  <si>
    <t>2.2</t>
  </si>
  <si>
    <t>GPS, FGTS e outras contribuições</t>
  </si>
  <si>
    <t xml:space="preserve">Valor </t>
  </si>
  <si>
    <t>INSS</t>
  </si>
  <si>
    <t>Salário Educação</t>
  </si>
  <si>
    <t>SAT</t>
  </si>
  <si>
    <t>SESC ou SESI</t>
  </si>
  <si>
    <t>SENAI - SENAC</t>
  </si>
  <si>
    <t>SEBRAE</t>
  </si>
  <si>
    <t>G</t>
  </si>
  <si>
    <t>INCRA</t>
  </si>
  <si>
    <t>H</t>
  </si>
  <si>
    <t>FGTS</t>
  </si>
  <si>
    <t>Memória de Cálculo - Submódulo 2.2</t>
  </si>
  <si>
    <t>A a H</t>
  </si>
  <si>
    <t>Módulo 1 (Total) + Submódulo 2.1</t>
  </si>
  <si>
    <t>Alíquota x Base de Cálculo</t>
  </si>
  <si>
    <t>Submódulo 2.3 - Benefícios Mensais e Diários.</t>
  </si>
  <si>
    <t>2.3</t>
  </si>
  <si>
    <t>Benefícios Mensais e Diários</t>
  </si>
  <si>
    <t>Transporte</t>
  </si>
  <si>
    <t>Auxílio-Refeição/Alimentação</t>
  </si>
  <si>
    <t>Seguro de Vida</t>
  </si>
  <si>
    <t>Auxílio-Morte/Funeral</t>
  </si>
  <si>
    <t>Cláusula Décima Sexta da CCT</t>
  </si>
  <si>
    <t>Benefício Odontológico</t>
  </si>
  <si>
    <t>Cláusula Décima Quarta da CCT</t>
  </si>
  <si>
    <t>Memória de Cálculo - Submódulo 2.3</t>
  </si>
  <si>
    <t>-</t>
  </si>
  <si>
    <t>(Valor do Vale x 2 Vales/dia x Dias de Trabalho) - 6% x Salário Base</t>
  </si>
  <si>
    <t>(Valor do Vale Alim. x Qtde. Dias de Trab)  x 80%</t>
  </si>
  <si>
    <t>Quadro-Resumo do Módulo 2 - Encargos e Benefícios anuais, mensais e diários</t>
  </si>
  <si>
    <t>2</t>
  </si>
  <si>
    <t>Encargos e Benefícios Anuais, Mensais e Diários</t>
  </si>
  <si>
    <t>Módulo 3 - Provisão para Rescisão</t>
  </si>
  <si>
    <t>3</t>
  </si>
  <si>
    <t>Provisão para Rescisão</t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</si>
  <si>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</si>
  <si>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</si>
  <si>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</si>
  <si>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</si>
  <si>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Multa do FGTS e contribuição social sobre o Aviso Prévio Trabalhado</t>
  </si>
  <si>
    <t>(-)Demissão por justa causa</t>
  </si>
  <si>
    <t>Memória de Cálculo - Módulo 3</t>
  </si>
  <si>
    <t>Módulo 1 (Total) + Submódulo 2.1 + Submódulo 2.3</t>
  </si>
  <si>
    <t>(Base de Cálculo / 12) x Percentual de AP Indenizado (Tabela "Dados sobre desligamento")</t>
  </si>
  <si>
    <t>Item H do submódulo 2.2 (FGTS)</t>
  </si>
  <si>
    <t>Base de Cálculo x 50 % (40% de multa + 10% contribuição social) x Percentual de AP Indenizado (Tabela "Dados sobre desligamento")</t>
  </si>
  <si>
    <t>Módulo 1 (Total) + Módulo 2 (Total)</t>
  </si>
  <si>
    <t>(Base de Cálculo / 12) x Percentual de AP Trabalhado (Tabela "Dados sobre desligamento")</t>
  </si>
  <si>
    <t>Base de Cálculo x 50 % (40% de multa + 10% contribuição social) x Percentual de AP Trabalhado (Tabela "Dados sobre desligamento")</t>
  </si>
  <si>
    <t>Submódulo 2.1</t>
  </si>
  <si>
    <t>Base de Cálculo x Percentual de Demissões COM justa Causa (Tabela "Dados sobre desligamento")</t>
  </si>
  <si>
    <t xml:space="preserve">Módulo 4 - Custo de Reposição do Profissional Ausente
</t>
  </si>
  <si>
    <t>Submódulo 4.1 - Substituto nas Ausências Legais</t>
  </si>
  <si>
    <t>4.1</t>
  </si>
  <si>
    <t>Substituto nas Ausências Legais</t>
  </si>
  <si>
    <t>Dias de ausência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</si>
  <si>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</si>
  <si>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</si>
  <si>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</si>
  <si>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</si>
  <si>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</si>
  <si>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Ausência por Doença</t>
  </si>
  <si>
    <t>Memória de Cálculo - Módulo 4</t>
  </si>
  <si>
    <t>A a F</t>
  </si>
  <si>
    <t>Dias de Ausência conforme caderno técnico de limpeza/PB 2018, p. 20.</t>
  </si>
  <si>
    <t>A, B, C, D e F</t>
  </si>
  <si>
    <t>Valor das rubricas</t>
  </si>
  <si>
    <t xml:space="preserve">Custo diário para o repositor = (Módulo 1 + SubMódulo 2.1 + (Módulo1 / 12) * (100% + Submódulo 2.2 (%)) / 30 </t>
  </si>
  <si>
    <t>(Base de cálculo x Dias de Ausência) / 12</t>
  </si>
  <si>
    <t>Valor das Rubricas</t>
  </si>
  <si>
    <t>Custo diário para o repositor (afastamento maternidade) = ([Módulo 1 x (1 +1/3) x (100% + % sbmódulo 2.2) ]/12 )/ 30</t>
  </si>
  <si>
    <t>Submódulo 4.2 - Substituto na Intrajornada</t>
  </si>
  <si>
    <t>4.2</t>
  </si>
  <si>
    <t>Substituto na Intrajornada </t>
  </si>
  <si>
    <t>Substituto na cobertura de Intervalo para repouso ou alimentação</t>
  </si>
  <si>
    <t>Quadro-Resumo do Módulo 4 - Custo de Reposição do Profissional Ausente</t>
  </si>
  <si>
    <t>4</t>
  </si>
  <si>
    <t>Custo de Reposição do Profissional Ausente</t>
  </si>
  <si>
    <t>Substituto na Intrajornada</t>
  </si>
  <si>
    <t>Módulo 5 - Insumos Diversos</t>
  </si>
  <si>
    <t>5</t>
  </si>
  <si>
    <t>Insumos Diversos</t>
  </si>
  <si>
    <t>Uniformes</t>
  </si>
  <si>
    <t>Materiais</t>
  </si>
  <si>
    <t>Equipamentos</t>
  </si>
  <si>
    <t>EPI</t>
  </si>
  <si>
    <t>Memória de Cálculo - Módulo 5</t>
  </si>
  <si>
    <t>Tabela Uniformes Serventes</t>
  </si>
  <si>
    <t>Total da Tabela Materiais</t>
  </si>
  <si>
    <t>Base de Cálculo / Qtde. de Serventes</t>
  </si>
  <si>
    <t>Custo total dos equipamentos (Manutenção + Depreciação)</t>
  </si>
  <si>
    <t>Módulo 6 - Custos Indiretos, Tributos e Lucro</t>
  </si>
  <si>
    <t>6</t>
  </si>
  <si>
    <t>Custos Indiretos, Tributos e Lucro</t>
  </si>
  <si>
    <t>Custos Indiretos</t>
  </si>
  <si>
    <t>Tributos</t>
  </si>
  <si>
    <t>C.1</t>
  </si>
  <si>
    <t>C.2</t>
  </si>
  <si>
    <t>C.3</t>
  </si>
  <si>
    <t>QUADRO-RESUMO DO CUSTO POR EMPREGADO</t>
  </si>
  <si>
    <t>Mão de obra vinculada à execução contratual</t>
  </si>
  <si>
    <t>Módulo 4 - Custo de Reposição do Profissional Ausente</t>
  </si>
  <si>
    <t>Subtotal (A + B +C+ D+E)</t>
  </si>
  <si>
    <t>Valor Total por Empregado</t>
  </si>
  <si>
    <t>Encarregado</t>
  </si>
  <si>
    <t>Município - ISSQN</t>
  </si>
  <si>
    <t>ISSQN 5 % (cinco por cento)</t>
  </si>
  <si>
    <t>12 (doze) meses</t>
  </si>
  <si>
    <t>4101-05</t>
  </si>
  <si>
    <t>13º (décimo terceiro) Salário, Férias e Adicional de Férias</t>
  </si>
  <si>
    <t>Férias e Adicional de Férias</t>
  </si>
  <si>
    <t>TOTAL</t>
  </si>
  <si>
    <t>Incidência de GPS, FGTS e outras contribuições sobre o Aviso Prévio Trabalhado</t>
  </si>
  <si>
    <t>Substituto na cobertura de Outras ausências (especificar)</t>
  </si>
  <si>
    <t>Auxiliar de Serviços Gerais</t>
  </si>
  <si>
    <t>5143-20</t>
  </si>
  <si>
    <t>ITEM</t>
  </si>
  <si>
    <t>DESCRIÇÃO</t>
  </si>
  <si>
    <t>UNIDADE</t>
  </si>
  <si>
    <t>QUANTIDADE</t>
  </si>
  <si>
    <t>VALOR TOTAL  (R$)</t>
  </si>
  <si>
    <t>Área Interna -  Piso frio</t>
  </si>
  <si>
    <t>Área Interna -  Laboratório</t>
  </si>
  <si>
    <t>Área Interna - Área com espaços livres - saguão, hall e salão</t>
  </si>
  <si>
    <t>Área Interna - Banheiro</t>
  </si>
  <si>
    <t>Área Externa - Varrição de Passeio e arruamentos</t>
  </si>
  <si>
    <t>Esquadria Externa - Face externa sem exposição  a situação de risco</t>
  </si>
  <si>
    <t>CCT PB000517/2021</t>
  </si>
  <si>
    <t>....../......./2022</t>
  </si>
  <si>
    <t>Álcool gel de 1ª qualidade, álcool etílico hidratado 70° INPM, com registro ANVISA</t>
  </si>
  <si>
    <t>LITRO</t>
  </si>
  <si>
    <t>Água sanitária de 1ª qualidade, com registro ANVISA</t>
  </si>
  <si>
    <t>5L</t>
  </si>
  <si>
    <t>Cera líquida impermeabilizante de acabamento, a base de polímeros acrílicos sintéticos puros de alta resistência à abrasão. Efeito piso molhado. Apresentar alto teor de sólidos em sua composição, de 27% a 30% (ideal CA 30%) demonstrados em sua ficha técnica. Deve apresentar secagem rápida, fluidez na aplicação, fácil manutenção, alta durabilidade e desempenho. Bombona com 5 litros. O produto deve conter ficha técnica e de segurança. Registro do produto junto a ANVISA.</t>
  </si>
  <si>
    <t>UNID.</t>
  </si>
  <si>
    <t>Cloro Líquido</t>
  </si>
  <si>
    <t>Desinfetante para banheiros e sanitários com registro ANVISA – bombona de 5 litros</t>
  </si>
  <si>
    <t>Detergente líquido para limpeza de superfícies, 100% biodegradável com Registro ANVISA</t>
  </si>
  <si>
    <t xml:space="preserve">Papel higiênico de 1ª qualidade, contendo ao menos 30m cada rolo, folha dupla, pacote com 12 un; 100% fibra celulósica. Desejável certificação FSC ou equivalente. Marca de referência: Neve ou similar. </t>
  </si>
  <si>
    <t>PACOTE</t>
  </si>
  <si>
    <t>Sabonete líquido de de 1° qualidade (de odor agradável), com ph neutro concentrado  com Registro ANVISA</t>
  </si>
  <si>
    <t>Esponja de Nylon, pacote com 03 unid</t>
  </si>
  <si>
    <t>Flanela, tamanho 38cmx58 cm, consistência grossa</t>
  </si>
  <si>
    <t>Palha de aço, tipo fina, de 8 unidades.</t>
  </si>
  <si>
    <t>Pano de chão em algodão, tamanho mínimo de 60x40</t>
  </si>
  <si>
    <t xml:space="preserve">Alvejante Multiuso, registro na ANVISA. </t>
  </si>
  <si>
    <t xml:space="preserve">Pastilhas sanitárias adesivas, com registro na ANVISA. </t>
  </si>
  <si>
    <t>PACOTE C/ 3 UNID.</t>
  </si>
  <si>
    <t>Desodorizador de ar, cada unidade contendo 360 a 440 ml, com Registro ANVISA, não agressivo à camada de ozônio.</t>
  </si>
  <si>
    <t>TUBO</t>
  </si>
  <si>
    <t xml:space="preserve">Sabão líquido, registro na ANVISA. </t>
  </si>
  <si>
    <t>Saco para lixo, de 100 litros, fardo com 100 unidades, várias cores</t>
  </si>
  <si>
    <t>FARDO</t>
  </si>
  <si>
    <t>Saco para lixo, de 60 litros, fardo com 100 unidades, várias cores</t>
  </si>
  <si>
    <t>Limpa vidros concentrado, cada unidade com 500ml</t>
  </si>
  <si>
    <t>Luvas multiuso, para limpeza doméstica, em látex, flexíveis e resistentes, com bordas ajustadas para aumentar a proteção e evitar a entrada de água.</t>
  </si>
  <si>
    <t>PAR</t>
  </si>
  <si>
    <t>UNID</t>
  </si>
  <si>
    <t>Desentupidor de pia, tamanho grande.</t>
  </si>
  <si>
    <t>Desentupidor de sanitário, tamanho grande.</t>
  </si>
  <si>
    <t>Máscara Descartável - c/ registro na ANVISA</t>
  </si>
  <si>
    <t>CAIXA C/ 100</t>
  </si>
  <si>
    <t>Escova de lavar louça/banheiro</t>
  </si>
  <si>
    <t>Espanador de teto com cabo de 2 metros.</t>
  </si>
  <si>
    <t xml:space="preserve">Mangueira flexível trançada, com 3 camadas, camada interna e externa de PVC, camada intermediária de poliéster, pressão máxima suportada 10 Bar / 145 Psi, 1/2 Polegada, 100 metros, garantia de 3 meses. </t>
  </si>
  <si>
    <t>Pá para lixo em metal, tamanho médio, cabo longo em madeira.</t>
  </si>
  <si>
    <t>Rodo com duas borrachas - 40cm de largura, com cabo</t>
  </si>
  <si>
    <t>Ácido muriático</t>
  </si>
  <si>
    <t>Soda caustica com 1kg</t>
  </si>
  <si>
    <t>KG</t>
  </si>
  <si>
    <t>Vassoura de pêlo sintético, 30cm, com cabo de 120cm</t>
  </si>
  <si>
    <t>Vassourinha para sanitário em plástico</t>
  </si>
  <si>
    <t>Luva de couro</t>
  </si>
  <si>
    <t>MATERIAL MENSAL</t>
  </si>
  <si>
    <t>MATERIAL SEMESTRAL</t>
  </si>
  <si>
    <t>UNIFORMES (ASG E ENCARREGADO)</t>
  </si>
  <si>
    <t>Manutenção mensal (0,25% ao ano)</t>
  </si>
  <si>
    <t>Depreciação mensal (10% ao ano)</t>
  </si>
  <si>
    <t>EQUIPAMENTOS</t>
  </si>
  <si>
    <t>Relógio de ponto biométrico</t>
  </si>
  <si>
    <t>Carro de mão</t>
  </si>
  <si>
    <t>Máquina de lavar à jato (alta pressão) com motor de no mínimo 1,6v (220v) e proteção térmica, pressão mínima de 1.300 ibf/pol², vazão mínima de 6L, sistema stop total, bico com paletas em aço inox para regulagem do jato e que permita várias opções de abertura de acordo com a necessidade do trabalho, gatilho com trava de segurança, mangueira de alta pressão com comprimento mínimo de 7 metros, recipiente para aplicação de detergente, carrinho para transporte com garantia de 12 meses em todo território nacional.</t>
  </si>
  <si>
    <t>Enxada com cabo de madeira</t>
  </si>
  <si>
    <t>Enceradeira industrial – com escova de diâmetro de no mínimo 40 cm, motor com potência de no min. ³/4 HP, tensão 220v, capacidade operacional de no mínimo 1000m²/h, c/ fio de tomada de no mínimo 10m, que venha com acessórios (disco/escova, de lavar e de lustrar, limpeza média e pesada) com garantia de 12 meses em todo território nacional.</t>
  </si>
  <si>
    <t>Facão de no mínimo 30 cm com cabo em plástico</t>
  </si>
  <si>
    <t>Pá, tamanho grande para uso em construção, com cabo de madeira</t>
  </si>
  <si>
    <t>Ciscador comum, com cabo de madeira</t>
  </si>
  <si>
    <t>Foice Roçadeira Com Cabo de Madeira</t>
  </si>
  <si>
    <t>Crachá de identificação PVC, foto colorida e cordão</t>
  </si>
  <si>
    <t>Custo Mensal por ASG E ENCARREGADO</t>
  </si>
  <si>
    <t>Meias, padrão sport, tecido algodão, cor preta / azul escuro / branca</t>
  </si>
  <si>
    <t>KIT C/ 3 UNID</t>
  </si>
  <si>
    <t>Boné Legionário, p/ Proteção Solar, em Brim</t>
  </si>
  <si>
    <t>QUANTIDADE (M²)</t>
  </si>
  <si>
    <t>KI*</t>
  </si>
  <si>
    <t>KI**</t>
  </si>
  <si>
    <t>PREÇO HOMEM -MÊS (SERVENTE)</t>
  </si>
  <si>
    <t>PREÇO HOMEM -MÊS (ENCARREGADO)</t>
  </si>
  <si>
    <t>PREÇO M²</t>
  </si>
  <si>
    <t>ESTIMATIVO TOTAL MENSAL</t>
  </si>
  <si>
    <t>ESTIMATIVO TOTAL ANUAL</t>
  </si>
  <si>
    <t>UND</t>
  </si>
  <si>
    <t>* Índice Ki referente ao ASG</t>
  </si>
  <si>
    <t>** Índice  Ki referente ao Encarregado</t>
  </si>
  <si>
    <t>ÁREAS E PRODUTIVIDADE - SERVIÇOS DE LIMPEZA</t>
  </si>
  <si>
    <t>Custo Total Mensal dos Equipamentos (Manutenção + Depreciação)</t>
  </si>
  <si>
    <t>DISCRIMINAÇÃO DOS SERVIÇOS (DADOS REFERENTES À CONTRATAÇÃO)</t>
  </si>
  <si>
    <t>Data de apresentação da proposta (dia/mês/ano):</t>
  </si>
  <si>
    <t>Ano do Acordo, Convenção ou Dissídio Coletivo:</t>
  </si>
  <si>
    <t>Número de meses de execução contratual:</t>
  </si>
  <si>
    <t>MÃO DE OBRA VINCULADA À EXECUÇÃO CONTRATUAL</t>
  </si>
  <si>
    <t>TIPO DO SERVIÇO/CATEGORIA</t>
  </si>
  <si>
    <t>CBO</t>
  </si>
  <si>
    <t>QUANTIDADE TOTAL</t>
  </si>
  <si>
    <t>SALÁRIO BASE DA CATEGORIA</t>
  </si>
  <si>
    <t>MÓDULO 1 -  Composição da Remuneração</t>
  </si>
  <si>
    <t>1 - Composição da Remuneração</t>
  </si>
  <si>
    <t>R$</t>
  </si>
  <si>
    <t>Salário-base</t>
  </si>
  <si>
    <t>Adicional de periculosidade</t>
  </si>
  <si>
    <t>Adicional de insalubridade</t>
  </si>
  <si>
    <t>Adicional noturno</t>
  </si>
  <si>
    <t xml:space="preserve">TOTAL </t>
  </si>
  <si>
    <t>MÓDULO 2 - Encargos e Benefícios Anuais, Mensais e Diários</t>
  </si>
  <si>
    <t>Submódulo 2.1 - 13º (décimo terceiro) Salário, Férias e Adicional de Férias</t>
  </si>
  <si>
    <t>2.1 - 13º (décimo terceiro) Salário, Férias e Adicional de Férias</t>
  </si>
  <si>
    <t>2.2 - Encargos Previdenciários (GPS), Fundo de Garantia por Tempo de Serviço (FGTS) e outras contribuições</t>
  </si>
  <si>
    <t>2.2 - GPS, FGTS e outras contribuições</t>
  </si>
  <si>
    <t>SESI/SESC</t>
  </si>
  <si>
    <t>SENAI/SENAC</t>
  </si>
  <si>
    <t>Seguro acidente do trabalho – RAT x FAP</t>
  </si>
  <si>
    <t>Submódulo 2.3 - Benefícios Mensais e Diários</t>
  </si>
  <si>
    <t>2.3 - Benefícios Mensais e Diários</t>
  </si>
  <si>
    <t>DIAS</t>
  </si>
  <si>
    <t>VALOR PASSAGEM</t>
  </si>
  <si>
    <t>TOTAL (R$)</t>
  </si>
  <si>
    <t>VALE ALIMENTAÇÃO</t>
  </si>
  <si>
    <t>VALOR UNITÁRIO</t>
  </si>
  <si>
    <t>2 - Encargos e Benefícios Anuais, Mensais e Diários</t>
  </si>
  <si>
    <t>MÓDULO 3 - Provisão para Rescisão</t>
  </si>
  <si>
    <t>3 - Provisão para Rescisão</t>
  </si>
  <si>
    <t xml:space="preserve">Incidência do FGTS sobre aviso prévio indenizado </t>
  </si>
  <si>
    <t xml:space="preserve">Multa sobre FGTS e contribuições sociais sobre o aviso prévio indenizado </t>
  </si>
  <si>
    <t>Aviso prévio trabalhado</t>
  </si>
  <si>
    <t>MÓDULO 4 - Custo de Reposição do Profissional Ausente</t>
  </si>
  <si>
    <t>4.1 - Substituto nas Ausências Legais</t>
  </si>
  <si>
    <t>4.2 - Substituto na Intrajornada</t>
  </si>
  <si>
    <t>4 - Custo de Reposição do Profissional Ausente</t>
  </si>
  <si>
    <t>MÓDULO 5 - Insumos Diversos</t>
  </si>
  <si>
    <t>5 - Insumos Diversos</t>
  </si>
  <si>
    <t>TOTAL DE INSUMOS</t>
  </si>
  <si>
    <t>MÓDULO 6 - Custos Indiretos, Tributos e Lucro</t>
  </si>
  <si>
    <t>6 - Custos Indiretos, Tributos e Lucro</t>
  </si>
  <si>
    <t>CUSTOS INDIRETOS</t>
  </si>
  <si>
    <t>LUCRO</t>
  </si>
  <si>
    <t>TRIBUTOS</t>
  </si>
  <si>
    <t xml:space="preserve">     C1. ISS</t>
  </si>
  <si>
    <t xml:space="preserve">     C2. COFINS</t>
  </si>
  <si>
    <t xml:space="preserve">     C3. PIS</t>
  </si>
  <si>
    <t>TOTAL - CUSTOS INDIRETOS, TRIBUTOS E LUCRO</t>
  </si>
  <si>
    <t xml:space="preserve">QUADRO-RESUMO DO CUSTO POR EMPREGADO </t>
  </si>
  <si>
    <t>1 - REMUNERAÇÃO</t>
  </si>
  <si>
    <t>Módulo 1 – Composição da remuneração</t>
  </si>
  <si>
    <t>Subtotal (A+B+C+D+E)</t>
  </si>
  <si>
    <t>Módulo 5 – Custos indiretos, tributos e lucro</t>
  </si>
  <si>
    <t>TOTAL  POR EMPREGADO</t>
  </si>
  <si>
    <t>Nº do Edital: XX/2022</t>
  </si>
  <si>
    <t>Intervalo Intrajornada</t>
  </si>
  <si>
    <t>Outros (Auxílio Morte/Funeral)</t>
  </si>
  <si>
    <t>Outros (gratificação de atividade)</t>
  </si>
  <si>
    <t>QUADRO RESUMO DE PREÇOS ESTIMADOS</t>
  </si>
  <si>
    <t>CATSER/CATMAT</t>
  </si>
  <si>
    <t>MATERIAIS</t>
  </si>
  <si>
    <t>METRO QUADRADO</t>
  </si>
  <si>
    <t>CONJUNTO</t>
  </si>
  <si>
    <t>QUANTIDADE DE PESSOAS / METRAGEM</t>
  </si>
  <si>
    <t>VALOR MENSAL</t>
  </si>
  <si>
    <t>VALOR ANUAL</t>
  </si>
  <si>
    <t>Outros (plano de assistência familiar e social)</t>
  </si>
  <si>
    <t>Custo Total Mensal dos Materiais e Equipamentos (MENSAL + SEMESTRAL + EQUIPAMENTOS)</t>
  </si>
  <si>
    <t>PRESTAÇÃO DE SERVIÇO DE LIMPEZA E CONSERVAÇÃO  - ÁREAS INTERNAS, EXTERNAS E ESQUADRIAS EXTERNAS</t>
  </si>
  <si>
    <t>Nº do Processo: 23799.000354.2022-34</t>
  </si>
  <si>
    <t>SACO PARA LIXO 25 L - Saco plástico para lixo, capacidade: 25 l, largura: 50cm, altura: 58 cm,Embalagem com 100 unidades.</t>
  </si>
  <si>
    <t xml:space="preserve"> Kit completo para limpeza de vidros, CONTENDO: Lavador de vidros 35 cm    Cabo de fixação; Guia removível ; Raspador de segurança .</t>
  </si>
  <si>
    <t>Veneno para formiga em pó, com Registro nos orgão especializados .</t>
  </si>
  <si>
    <t>Vassourão piaçava tipo pêlo - 60 cm, com cabo de 120cm a 140cm</t>
  </si>
  <si>
    <t>Vassoura de piaçava, 30 cm, com cabo de 120cm a 140cm</t>
  </si>
  <si>
    <t>EXTENSÃO ELÉTRICA - Extensão elétrica, comprimento: 30 m, componentes: 1 plugue macho e 1 plugue fêmea, características adicionais: diâmetro do fio 8mm, tensão nominal: 250 v, material: termoplástico anti-chama, corrente nominal: 10 A</t>
  </si>
  <si>
    <t>Inseticida líquido,  sendo o produto  eficaz  no controle de escorpiao,  formigas, mosquitos, pulgas, aranhas, baratas, carrapatos, moscas e percevejos. Registro nos orgão Federais de controle do produto.</t>
  </si>
  <si>
    <t>1L</t>
  </si>
  <si>
    <t>DISPENSER PARA PAPEL TOALHA - Dispenser papel toalha, interfolhada, material: plástico abs, cor: branca, características adicionais: fixação por bucha e parafusos, dimensões aproximadas: 32 x 27 x 14 cm.</t>
  </si>
  <si>
    <t>DISPENSER HIGIENIZADOR PARA SABONETE LÍQUIDO -  Dispenser higienizador, material: plástico abs, capacidade: 800 ml, tipo fixação: parede, cor: branca, aplicação: mãos, características adicionais: visor frontal para sabonete líquido.</t>
  </si>
  <si>
    <t>LIXEIRA 25 L - Lixeira, material: polipropileno, capacidade: 25 l, tipo: quadrada, cor: preta, características adicionais: com tampa com pedal.</t>
  </si>
  <si>
    <t>LIXEIRA 100 L - Lixeira, material: polietileno de média densidade, capacidade: 100 l, tipo: basculante, altura: 1.010 mm, formato: quadrada, largura: 410 mm, peso: 6,5 kg, aplicação: coleta de lixo, comprimento: 410 mm</t>
  </si>
  <si>
    <t>REFIL MOP PÓ - Refil Mop Pó, composto por fios 100 % acrílicos, dimenções: 60 x 15 cm, sistema de fechamento por laços.</t>
  </si>
  <si>
    <t>REFÍL MOP ÚMIDO - Refil para mop esfregão úmido ponta dobrada, composição: 70% de algodão e 30% de poliéster, Ponta dobrada em loop 340g.</t>
  </si>
  <si>
    <t>Balde capacidade 10L em plástico resistente e com  alça de metal.</t>
  </si>
  <si>
    <t>VALOR TOTAL MENSAL - MATERIAL SEMESTRAL</t>
  </si>
  <si>
    <t>Esquadria Externa - Face interna</t>
  </si>
  <si>
    <t>Kit para limpeza profissional - Itens: 01 Carro Funcional América; 01 Balde Doblô 30 litros - 2 águas; 01 Cabo Telescópico - 1,40 m; 01 Garra Plástica Euro; 01 Refi l Loop com cinta 320 g; 01 Placa Sinalizadora Piso Molhado; 01 Pá Pop; 01 Conjunto Mop Pó - 60 cm.</t>
  </si>
  <si>
    <t>Calça de segurança jeans/brim com elástico, confeccionada em algodão, cor azul marinho ou preto</t>
  </si>
  <si>
    <t>Botina de Seguranca Elastica Bi Flexivel Com Bico Pvc antiderrapante</t>
  </si>
  <si>
    <t>Camisa em Algodão Malha Fria, Mangas Longas, c/ Emblema da Empresa, cor azul marinho ou preto</t>
  </si>
  <si>
    <t>Camisa gola pólo, tecido malha Fria / malha piquet, manga curta, cor azul marinho ou preto</t>
  </si>
  <si>
    <t>Lustra móveis, líquido, pronto para uso, acondicionamento em frasco de 500ml</t>
  </si>
  <si>
    <t>1.000 folhas</t>
  </si>
  <si>
    <t>Papel Toalha Interfolhas, branco, 100% Celulose, pacote com 1.000 folhas</t>
  </si>
  <si>
    <t>Inseticida spray 420ml (mata tudo), registro na ANVISA</t>
  </si>
  <si>
    <t>Carrinho de plataforma 300Kg dobrável</t>
  </si>
  <si>
    <t xml:space="preserve">  VALOR UNITÁRIO (R$)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</si>
</sst>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-&quot;R$&quot;\ * #,##0.00_-;\-&quot;R$&quot;\ * #,##0.00_-;_-&quot;R$&quot;\ * &quot;-&quot;??_-;_-@_-"/>
    <numFmt numFmtId="164" formatCode="&quot;R$&quot;\ #,##0.00"/>
    <numFmt numFmtId="165" formatCode="&quot;R$&quot;\ #,##0.00_);[Red]\(&quot;R$&quot;\ #,##0.00\)"/>
    <numFmt numFmtId="166" formatCode="&quot;R$ &quot;#,##0.00"/>
    <numFmt numFmtId="167" formatCode="&quot;R$&quot;#,##0.00"/>
    <numFmt numFmtId="168" formatCode="0.000000000"/>
    <numFmt numFmtId="172" formatCode="0.000%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name val="Tahoma"/>
      <family val="2"/>
    </font>
    <font>
      <sz val="9"/>
      <name val="Tahoma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3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sz val="9"/>
      <color indexed="8"/>
      <name val="Calibri"/>
      <family val="2"/>
      <scheme val="minor"/>
    </font>
    <font>
      <sz val="8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9" tint="0.79995117038483843"/>
        <bgColor theme="9" tint="0.79995117038483843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70AD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9" tint="0.59999389629810485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59999389629810485"/>
        <bgColor theme="9" tint="0.79998168889431442"/>
      </patternFill>
    </fill>
    <fill>
      <patternFill patternType="solid">
        <fgColor theme="9" tint="0.59999389629810485"/>
        <bgColor rgb="FFFFFFCC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0" tint="-4.9989318521683403E-2"/>
        <bgColor theme="9" tint="0.59999389629810485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ck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ck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/>
      <diagonal/>
    </border>
    <border>
      <left/>
      <right/>
      <top style="thin">
        <color theme="6" tint="-0.24994659260841701"/>
      </top>
      <bottom/>
      <diagonal/>
    </border>
    <border>
      <left/>
      <right style="thin">
        <color theme="6" tint="-0.24994659260841701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/>
      <top/>
      <bottom style="thin">
        <color theme="6" tint="-0.24994659260841701"/>
      </bottom>
      <diagonal/>
    </border>
    <border>
      <left/>
      <right/>
      <top/>
      <bottom style="thin">
        <color theme="6" tint="-0.24994659260841701"/>
      </bottom>
      <diagonal/>
    </border>
    <border>
      <left/>
      <right style="thin">
        <color theme="6" tint="-0.24994659260841701"/>
      </right>
      <top/>
      <bottom style="thin">
        <color theme="6" tint="-0.24994659260841701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77111117893"/>
      </left>
      <right/>
      <top/>
      <bottom/>
      <diagonal/>
    </border>
    <border>
      <left style="thin">
        <color theme="6" tint="-0.24994659260841701"/>
      </left>
      <right style="thin">
        <color theme="6" tint="-0.249977111117893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77111117893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 style="thin">
        <color theme="6" tint="-0.249977111117893"/>
      </right>
      <top/>
      <bottom style="thin">
        <color theme="6" tint="-0.24994659260841701"/>
      </bottom>
      <diagonal/>
    </border>
    <border>
      <left/>
      <right style="thin">
        <color theme="6" tint="-0.249977111117893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77111117893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77111117893"/>
      </left>
      <right style="thin">
        <color theme="6" tint="-0.24994659260841701"/>
      </right>
      <top style="thin">
        <color theme="6" tint="-0.24994659260841701"/>
      </top>
      <bottom/>
      <diagonal/>
    </border>
    <border>
      <left style="thin">
        <color theme="6" tint="-0.249977111117893"/>
      </left>
      <right style="thin">
        <color theme="6" tint="-0.24994659260841701"/>
      </right>
      <top/>
      <bottom style="thin">
        <color theme="6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5">
    <xf numFmtId="0" fontId="0" fillId="0" borderId="0"/>
    <xf numFmtId="0" fontId="1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28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0" fillId="6" borderId="5" xfId="0" applyNumberFormat="1" applyFont="1" applyFill="1" applyBorder="1" applyAlignment="1">
      <alignment horizontal="center" vertical="center"/>
    </xf>
    <xf numFmtId="0" fontId="0" fillId="6" borderId="6" xfId="0" applyFont="1" applyFill="1" applyBorder="1" applyAlignment="1">
      <alignment horizontal="center" vertical="center" wrapText="1"/>
    </xf>
    <xf numFmtId="164" fontId="10" fillId="7" borderId="6" xfId="0" applyNumberFormat="1" applyFont="1" applyFill="1" applyBorder="1" applyAlignment="1">
      <alignment horizontal="center" vertical="center"/>
    </xf>
    <xf numFmtId="0" fontId="0" fillId="8" borderId="7" xfId="0" applyNumberFormat="1" applyFont="1" applyFill="1" applyBorder="1" applyAlignment="1">
      <alignment horizontal="center" vertical="center"/>
    </xf>
    <xf numFmtId="0" fontId="0" fillId="8" borderId="7" xfId="0" applyNumberFormat="1" applyFont="1" applyFill="1" applyBorder="1" applyAlignment="1">
      <alignment horizontal="justify" vertical="center"/>
    </xf>
    <xf numFmtId="164" fontId="10" fillId="7" borderId="8" xfId="0" applyNumberFormat="1" applyFont="1" applyFill="1" applyBorder="1" applyAlignment="1">
      <alignment horizontal="center" vertical="center"/>
    </xf>
    <xf numFmtId="0" fontId="0" fillId="6" borderId="7" xfId="0" applyNumberFormat="1" applyFont="1" applyFill="1" applyBorder="1" applyAlignment="1">
      <alignment horizontal="center" vertical="center"/>
    </xf>
    <xf numFmtId="0" fontId="0" fillId="6" borderId="8" xfId="0" applyFont="1" applyFill="1" applyBorder="1" applyAlignment="1">
      <alignment horizontal="center" vertical="center" wrapText="1"/>
    </xf>
    <xf numFmtId="164" fontId="9" fillId="3" borderId="10" xfId="0" applyNumberFormat="1" applyFont="1" applyFill="1" applyBorder="1" applyAlignment="1">
      <alignment horizontal="center"/>
    </xf>
    <xf numFmtId="164" fontId="9" fillId="3" borderId="8" xfId="0" applyNumberFormat="1" applyFont="1" applyFill="1" applyBorder="1" applyAlignment="1">
      <alignment horizontal="center"/>
    </xf>
    <xf numFmtId="0" fontId="0" fillId="6" borderId="5" xfId="0" applyNumberFormat="1" applyFont="1" applyFill="1" applyBorder="1" applyAlignment="1">
      <alignment horizontal="justify" vertical="center" wrapText="1"/>
    </xf>
    <xf numFmtId="164" fontId="0" fillId="6" borderId="11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 vertical="center"/>
    </xf>
    <xf numFmtId="0" fontId="7" fillId="3" borderId="13" xfId="0" applyFont="1" applyFill="1" applyBorder="1"/>
    <xf numFmtId="0" fontId="0" fillId="8" borderId="7" xfId="0" applyNumberFormat="1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/>
    </xf>
    <xf numFmtId="165" fontId="9" fillId="5" borderId="15" xfId="0" applyNumberFormat="1" applyFont="1" applyFill="1" applyBorder="1" applyAlignment="1">
      <alignment horizontal="center" vertical="center"/>
    </xf>
    <xf numFmtId="0" fontId="7" fillId="3" borderId="0" xfId="0" applyFont="1" applyFill="1"/>
    <xf numFmtId="0" fontId="0" fillId="0" borderId="0" xfId="0" applyAlignment="1"/>
    <xf numFmtId="44" fontId="5" fillId="4" borderId="0" xfId="2" applyNumberFormat="1" applyFont="1" applyFill="1" applyAlignment="1">
      <alignment horizontal="center"/>
    </xf>
    <xf numFmtId="2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9" fontId="0" fillId="4" borderId="0" xfId="0" applyNumberFormat="1" applyFill="1" applyAlignment="1">
      <alignment horizontal="center"/>
    </xf>
    <xf numFmtId="10" fontId="0" fillId="0" borderId="0" xfId="0" applyNumberFormat="1"/>
    <xf numFmtId="164" fontId="0" fillId="0" borderId="0" xfId="0" applyNumberFormat="1" applyAlignment="1">
      <alignment horizontal="center"/>
    </xf>
    <xf numFmtId="10" fontId="5" fillId="4" borderId="0" xfId="3" applyNumberFormat="1" applyFont="1" applyFill="1" applyAlignment="1"/>
    <xf numFmtId="10" fontId="5" fillId="0" borderId="0" xfId="3" applyNumberFormat="1" applyFont="1" applyAlignment="1"/>
    <xf numFmtId="167" fontId="0" fillId="0" borderId="0" xfId="0" applyNumberFormat="1" applyAlignment="1"/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10" fontId="5" fillId="0" borderId="0" xfId="3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NumberFormat="1" applyAlignment="1">
      <alignment horizontal="center"/>
    </xf>
    <xf numFmtId="164" fontId="7" fillId="3" borderId="0" xfId="0" applyNumberFormat="1" applyFont="1" applyFill="1" applyAlignment="1">
      <alignment horizontal="center"/>
    </xf>
    <xf numFmtId="0" fontId="0" fillId="0" borderId="0" xfId="0" applyFont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1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Fill="1" applyBorder="1" applyAlignment="1">
      <alignment horizontal="justify" vertical="center" wrapText="1"/>
    </xf>
    <xf numFmtId="0" fontId="0" fillId="10" borderId="7" xfId="0" applyNumberFormat="1" applyFont="1" applyFill="1" applyBorder="1" applyAlignment="1">
      <alignment horizontal="center" vertical="center"/>
    </xf>
    <xf numFmtId="0" fontId="0" fillId="10" borderId="8" xfId="0" applyFont="1" applyFill="1" applyBorder="1" applyAlignment="1">
      <alignment horizontal="center" vertical="center" wrapText="1"/>
    </xf>
    <xf numFmtId="164" fontId="0" fillId="6" borderId="10" xfId="0" applyNumberFormat="1" applyFont="1" applyFill="1" applyBorder="1" applyAlignment="1">
      <alignment horizontal="center" vertical="center"/>
    </xf>
    <xf numFmtId="164" fontId="0" fillId="0" borderId="0" xfId="0" applyNumberFormat="1" applyFont="1"/>
    <xf numFmtId="0" fontId="0" fillId="6" borderId="8" xfId="0" applyFont="1" applyFill="1" applyBorder="1" applyAlignment="1">
      <alignment horizontal="justify" vertical="center" wrapText="1"/>
    </xf>
    <xf numFmtId="0" fontId="0" fillId="10" borderId="8" xfId="0" applyFont="1" applyFill="1" applyBorder="1" applyAlignment="1">
      <alignment horizontal="justify" vertical="center" wrapText="1"/>
    </xf>
    <xf numFmtId="0" fontId="0" fillId="0" borderId="0" xfId="0" applyFont="1" applyAlignment="1"/>
    <xf numFmtId="0" fontId="0" fillId="0" borderId="0" xfId="0" applyFont="1" applyBorder="1" applyAlignment="1"/>
    <xf numFmtId="0" fontId="0" fillId="6" borderId="7" xfId="0" applyFill="1" applyBorder="1" applyAlignment="1">
      <alignment horizontal="center"/>
    </xf>
    <xf numFmtId="0" fontId="0" fillId="6" borderId="8" xfId="0" applyFill="1" applyBorder="1"/>
    <xf numFmtId="0" fontId="0" fillId="6" borderId="8" xfId="0" applyFill="1" applyBorder="1" applyAlignment="1">
      <alignment horizontal="center" vertical="center"/>
    </xf>
    <xf numFmtId="164" fontId="0" fillId="6" borderId="8" xfId="0" applyNumberFormat="1" applyFill="1" applyBorder="1" applyAlignment="1">
      <alignment horizontal="center" vertical="center"/>
    </xf>
    <xf numFmtId="0" fontId="0" fillId="10" borderId="7" xfId="0" applyFill="1" applyBorder="1" applyAlignment="1">
      <alignment horizontal="center"/>
    </xf>
    <xf numFmtId="0" fontId="0" fillId="10" borderId="8" xfId="0" applyFill="1" applyBorder="1"/>
    <xf numFmtId="0" fontId="0" fillId="10" borderId="8" xfId="0" applyFill="1" applyBorder="1" applyAlignment="1">
      <alignment horizontal="center" vertical="center"/>
    </xf>
    <xf numFmtId="164" fontId="0" fillId="10" borderId="8" xfId="0" applyNumberFormat="1" applyFill="1" applyBorder="1" applyAlignment="1">
      <alignment horizontal="center" vertical="center"/>
    </xf>
    <xf numFmtId="168" fontId="0" fillId="6" borderId="8" xfId="0" applyNumberFormat="1" applyFill="1" applyBorder="1" applyAlignment="1">
      <alignment horizontal="center"/>
    </xf>
    <xf numFmtId="168" fontId="0" fillId="10" borderId="8" xfId="0" applyNumberFormat="1" applyFill="1" applyBorder="1" applyAlignment="1">
      <alignment horizontal="center" vertical="center"/>
    </xf>
    <xf numFmtId="168" fontId="0" fillId="6" borderId="8" xfId="0" applyNumberFormat="1" applyFill="1" applyBorder="1" applyAlignment="1">
      <alignment horizontal="center" vertical="center"/>
    </xf>
    <xf numFmtId="0" fontId="12" fillId="0" borderId="0" xfId="0" applyFont="1"/>
    <xf numFmtId="164" fontId="9" fillId="5" borderId="4" xfId="0" applyNumberFormat="1" applyFont="1" applyFill="1" applyBorder="1" applyAlignment="1">
      <alignment horizontal="center" vertical="center" wrapText="1"/>
    </xf>
    <xf numFmtId="164" fontId="15" fillId="7" borderId="8" xfId="0" applyNumberFormat="1" applyFont="1" applyFill="1" applyBorder="1" applyAlignment="1">
      <alignment horizontal="center" vertical="center"/>
    </xf>
    <xf numFmtId="0" fontId="6" fillId="11" borderId="19" xfId="0" applyFont="1" applyFill="1" applyBorder="1" applyAlignment="1">
      <alignment horizontal="center" vertical="center" wrapText="1"/>
    </xf>
    <xf numFmtId="0" fontId="6" fillId="11" borderId="20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164" fontId="0" fillId="10" borderId="8" xfId="0" applyNumberFormat="1" applyFont="1" applyFill="1" applyBorder="1" applyAlignment="1">
      <alignment horizontal="center" vertical="center" wrapText="1"/>
    </xf>
    <xf numFmtId="164" fontId="0" fillId="6" borderId="8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19" fillId="15" borderId="30" xfId="0" applyFont="1" applyFill="1" applyBorder="1" applyAlignment="1">
      <alignment horizontal="left" vertical="center" wrapText="1"/>
    </xf>
    <xf numFmtId="0" fontId="19" fillId="15" borderId="30" xfId="0" applyFont="1" applyFill="1" applyBorder="1" applyAlignment="1">
      <alignment horizontal="left" wrapText="1"/>
    </xf>
    <xf numFmtId="0" fontId="19" fillId="15" borderId="31" xfId="0" applyFont="1" applyFill="1" applyBorder="1" applyAlignment="1">
      <alignment horizontal="left" wrapText="1"/>
    </xf>
    <xf numFmtId="0" fontId="19" fillId="15" borderId="30" xfId="0" applyFont="1" applyFill="1" applyBorder="1" applyAlignment="1">
      <alignment wrapText="1"/>
    </xf>
    <xf numFmtId="0" fontId="19" fillId="15" borderId="32" xfId="0" applyFont="1" applyFill="1" applyBorder="1" applyAlignment="1">
      <alignment wrapText="1"/>
    </xf>
    <xf numFmtId="0" fontId="17" fillId="0" borderId="33" xfId="0" applyFont="1" applyBorder="1"/>
    <xf numFmtId="0" fontId="19" fillId="15" borderId="30" xfId="0" applyFont="1" applyFill="1" applyBorder="1" applyAlignment="1">
      <alignment horizontal="center" vertical="center" wrapText="1"/>
    </xf>
    <xf numFmtId="0" fontId="19" fillId="15" borderId="34" xfId="0" applyFont="1" applyFill="1" applyBorder="1" applyAlignment="1">
      <alignment horizontal="center" vertical="center" wrapText="1"/>
    </xf>
    <xf numFmtId="0" fontId="19" fillId="19" borderId="30" xfId="0" applyFont="1" applyFill="1" applyBorder="1" applyAlignment="1">
      <alignment horizontal="left"/>
    </xf>
    <xf numFmtId="0" fontId="19" fillId="19" borderId="31" xfId="0" applyFont="1" applyFill="1" applyBorder="1" applyAlignment="1">
      <alignment horizontal="left"/>
    </xf>
    <xf numFmtId="0" fontId="20" fillId="0" borderId="0" xfId="0" applyFont="1"/>
    <xf numFmtId="0" fontId="12" fillId="0" borderId="30" xfId="0" applyFont="1" applyBorder="1" applyAlignment="1">
      <alignment horizontal="left" vertical="center"/>
    </xf>
    <xf numFmtId="10" fontId="20" fillId="0" borderId="38" xfId="3" applyNumberFormat="1" applyFont="1" applyBorder="1" applyAlignment="1" applyProtection="1">
      <alignment horizontal="right"/>
    </xf>
    <xf numFmtId="0" fontId="20" fillId="0" borderId="30" xfId="0" applyFont="1" applyBorder="1" applyAlignment="1">
      <alignment horizontal="left" vertical="center" wrapText="1"/>
    </xf>
    <xf numFmtId="10" fontId="19" fillId="19" borderId="39" xfId="0" applyNumberFormat="1" applyFont="1" applyFill="1" applyBorder="1" applyAlignment="1">
      <alignment horizontal="right"/>
    </xf>
    <xf numFmtId="0" fontId="20" fillId="0" borderId="38" xfId="0" applyFont="1" applyBorder="1" applyAlignment="1">
      <alignment horizontal="left" wrapText="1"/>
    </xf>
    <xf numFmtId="0" fontId="20" fillId="0" borderId="38" xfId="0" applyFont="1" applyBorder="1" applyAlignment="1">
      <alignment horizontal="left" vertical="justify" wrapText="1"/>
    </xf>
    <xf numFmtId="10" fontId="20" fillId="14" borderId="38" xfId="3" applyNumberFormat="1" applyFont="1" applyFill="1" applyBorder="1" applyAlignment="1" applyProtection="1">
      <alignment horizontal="right"/>
    </xf>
    <xf numFmtId="0" fontId="12" fillId="0" borderId="32" xfId="0" applyFont="1" applyBorder="1" applyAlignment="1">
      <alignment horizontal="left" vertical="center"/>
    </xf>
    <xf numFmtId="0" fontId="12" fillId="16" borderId="21" xfId="0" applyFont="1" applyFill="1" applyBorder="1" applyAlignment="1">
      <alignment horizontal="center" vertical="center"/>
    </xf>
    <xf numFmtId="166" fontId="17" fillId="0" borderId="0" xfId="0" applyNumberFormat="1" applyFont="1"/>
    <xf numFmtId="0" fontId="17" fillId="0" borderId="21" xfId="0" applyFont="1" applyBorder="1" applyAlignment="1">
      <alignment horizontal="center"/>
    </xf>
    <xf numFmtId="164" fontId="17" fillId="0" borderId="21" xfId="2" applyNumberFormat="1" applyFont="1" applyBorder="1" applyAlignment="1" applyProtection="1">
      <alignment horizontal="center"/>
    </xf>
    <xf numFmtId="44" fontId="17" fillId="0" borderId="21" xfId="2" applyFont="1" applyBorder="1" applyAlignment="1" applyProtection="1">
      <alignment horizontal="center"/>
    </xf>
    <xf numFmtId="0" fontId="12" fillId="0" borderId="30" xfId="0" applyFont="1" applyBorder="1" applyAlignment="1">
      <alignment horizontal="left" vertical="center" wrapText="1"/>
    </xf>
    <xf numFmtId="0" fontId="19" fillId="20" borderId="31" xfId="0" applyFont="1" applyFill="1" applyBorder="1" applyAlignment="1">
      <alignment wrapText="1"/>
    </xf>
    <xf numFmtId="2" fontId="17" fillId="0" borderId="21" xfId="2" applyNumberFormat="1" applyFont="1" applyBorder="1" applyAlignment="1" applyProtection="1">
      <alignment horizontal="center"/>
    </xf>
    <xf numFmtId="0" fontId="19" fillId="15" borderId="32" xfId="0" applyFont="1" applyFill="1" applyBorder="1" applyAlignment="1">
      <alignment horizontal="left" wrapText="1"/>
    </xf>
    <xf numFmtId="0" fontId="22" fillId="0" borderId="0" xfId="0" applyFont="1"/>
    <xf numFmtId="0" fontId="20" fillId="0" borderId="38" xfId="0" applyFont="1" applyBorder="1" applyAlignment="1">
      <alignment horizontal="left" vertical="center" wrapText="1"/>
    </xf>
    <xf numFmtId="10" fontId="20" fillId="14" borderId="30" xfId="3" applyNumberFormat="1" applyFont="1" applyFill="1" applyBorder="1" applyAlignment="1" applyProtection="1">
      <alignment horizontal="right" vertical="center"/>
    </xf>
    <xf numFmtId="10" fontId="20" fillId="12" borderId="30" xfId="3" applyNumberFormat="1" applyFont="1" applyFill="1" applyBorder="1" applyAlignment="1" applyProtection="1">
      <alignment horizontal="right" vertical="center"/>
    </xf>
    <xf numFmtId="10" fontId="23" fillId="14" borderId="30" xfId="3" applyNumberFormat="1" applyFont="1" applyFill="1" applyBorder="1" applyAlignment="1" applyProtection="1">
      <alignment horizontal="right" vertical="center"/>
    </xf>
    <xf numFmtId="172" fontId="17" fillId="0" borderId="0" xfId="0" applyNumberFormat="1" applyFont="1"/>
    <xf numFmtId="0" fontId="19" fillId="19" borderId="38" xfId="0" applyFont="1" applyFill="1" applyBorder="1" applyAlignment="1">
      <alignment wrapText="1"/>
    </xf>
    <xf numFmtId="10" fontId="19" fillId="19" borderId="30" xfId="3" applyNumberFormat="1" applyFont="1" applyFill="1" applyBorder="1" applyAlignment="1" applyProtection="1">
      <alignment horizontal="right"/>
    </xf>
    <xf numFmtId="0" fontId="20" fillId="0" borderId="38" xfId="0" applyFont="1" applyBorder="1" applyAlignment="1">
      <alignment horizontal="left" vertical="top" wrapText="1"/>
    </xf>
    <xf numFmtId="10" fontId="19" fillId="19" borderId="30" xfId="0" applyNumberFormat="1" applyFont="1" applyFill="1" applyBorder="1" applyAlignment="1">
      <alignment horizontal="right"/>
    </xf>
    <xf numFmtId="0" fontId="20" fillId="0" borderId="38" xfId="0" applyFont="1" applyBorder="1" applyAlignment="1">
      <alignment wrapText="1"/>
    </xf>
    <xf numFmtId="0" fontId="19" fillId="15" borderId="38" xfId="0" applyFont="1" applyFill="1" applyBorder="1" applyAlignment="1">
      <alignment wrapText="1"/>
    </xf>
    <xf numFmtId="10" fontId="23" fillId="14" borderId="38" xfId="3" applyNumberFormat="1" applyFont="1" applyFill="1" applyBorder="1" applyAlignment="1" applyProtection="1">
      <alignment horizontal="right" vertical="center"/>
    </xf>
    <xf numFmtId="0" fontId="19" fillId="19" borderId="30" xfId="0" applyFont="1" applyFill="1" applyBorder="1" applyAlignment="1">
      <alignment horizontal="left" wrapText="1"/>
    </xf>
    <xf numFmtId="0" fontId="20" fillId="19" borderId="30" xfId="0" applyFont="1" applyFill="1" applyBorder="1" applyAlignment="1">
      <alignment horizontal="left" wrapText="1"/>
    </xf>
    <xf numFmtId="10" fontId="19" fillId="19" borderId="30" xfId="0" applyNumberFormat="1" applyFont="1" applyFill="1" applyBorder="1" applyAlignment="1">
      <alignment horizontal="left" wrapText="1"/>
    </xf>
    <xf numFmtId="0" fontId="17" fillId="12" borderId="0" xfId="0" applyFont="1" applyFill="1"/>
    <xf numFmtId="0" fontId="12" fillId="12" borderId="30" xfId="0" applyFont="1" applyFill="1" applyBorder="1" applyAlignment="1">
      <alignment wrapText="1"/>
    </xf>
    <xf numFmtId="10" fontId="20" fillId="14" borderId="38" xfId="3" applyNumberFormat="1" applyFont="1" applyFill="1" applyBorder="1" applyAlignment="1" applyProtection="1">
      <alignment horizontal="right" vertical="center"/>
    </xf>
    <xf numFmtId="0" fontId="20" fillId="0" borderId="30" xfId="0" applyFont="1" applyBorder="1" applyAlignment="1">
      <alignment wrapText="1"/>
    </xf>
    <xf numFmtId="0" fontId="19" fillId="15" borderId="24" xfId="0" applyFont="1" applyFill="1" applyBorder="1" applyAlignment="1">
      <alignment horizontal="left" vertical="center" wrapText="1"/>
    </xf>
    <xf numFmtId="0" fontId="19" fillId="15" borderId="21" xfId="0" applyFont="1" applyFill="1" applyBorder="1" applyAlignment="1">
      <alignment horizontal="left" vertical="center" wrapText="1"/>
    </xf>
    <xf numFmtId="2" fontId="0" fillId="0" borderId="0" xfId="0" applyNumberFormat="1"/>
    <xf numFmtId="0" fontId="6" fillId="5" borderId="3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/>
    </xf>
    <xf numFmtId="168" fontId="10" fillId="10" borderId="8" xfId="0" applyNumberFormat="1" applyFont="1" applyFill="1" applyBorder="1" applyAlignment="1">
      <alignment horizontal="center" vertical="center"/>
    </xf>
    <xf numFmtId="1" fontId="10" fillId="10" borderId="8" xfId="0" applyNumberFormat="1" applyFont="1" applyFill="1" applyBorder="1" applyAlignment="1">
      <alignment horizontal="center" vertical="center"/>
    </xf>
    <xf numFmtId="168" fontId="10" fillId="6" borderId="8" xfId="0" applyNumberFormat="1" applyFont="1" applyFill="1" applyBorder="1" applyAlignment="1">
      <alignment horizontal="center" vertical="center"/>
    </xf>
    <xf numFmtId="0" fontId="10" fillId="10" borderId="8" xfId="0" applyFont="1" applyFill="1" applyBorder="1" applyAlignment="1">
      <alignment horizontal="center" vertical="justify"/>
    </xf>
    <xf numFmtId="0" fontId="10" fillId="6" borderId="7" xfId="0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 wrapText="1"/>
    </xf>
    <xf numFmtId="164" fontId="10" fillId="6" borderId="8" xfId="0" applyNumberFormat="1" applyFont="1" applyFill="1" applyBorder="1" applyAlignment="1">
      <alignment horizontal="center" vertical="center" wrapText="1"/>
    </xf>
    <xf numFmtId="0" fontId="10" fillId="10" borderId="8" xfId="0" applyFont="1" applyFill="1" applyBorder="1" applyAlignment="1">
      <alignment horizontal="center" vertical="center" wrapText="1"/>
    </xf>
    <xf numFmtId="164" fontId="10" fillId="10" borderId="8" xfId="0" applyNumberFormat="1" applyFont="1" applyFill="1" applyBorder="1" applyAlignment="1">
      <alignment horizontal="center" vertical="center" wrapText="1"/>
    </xf>
    <xf numFmtId="0" fontId="10" fillId="10" borderId="8" xfId="0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1" fontId="10" fillId="6" borderId="8" xfId="0" applyNumberFormat="1" applyFont="1" applyFill="1" applyBorder="1" applyAlignment="1">
      <alignment horizontal="center" vertical="center"/>
    </xf>
    <xf numFmtId="0" fontId="19" fillId="15" borderId="30" xfId="0" applyFont="1" applyFill="1" applyBorder="1" applyAlignment="1">
      <alignment horizontal="left" vertical="center" wrapText="1"/>
    </xf>
    <xf numFmtId="0" fontId="17" fillId="16" borderId="42" xfId="0" applyFont="1" applyFill="1" applyBorder="1" applyAlignment="1">
      <alignment horizontal="center"/>
    </xf>
    <xf numFmtId="0" fontId="17" fillId="16" borderId="43" xfId="0" applyFont="1" applyFill="1" applyBorder="1" applyAlignment="1">
      <alignment horizontal="center"/>
    </xf>
    <xf numFmtId="0" fontId="17" fillId="16" borderId="44" xfId="0" applyFont="1" applyFill="1" applyBorder="1" applyAlignment="1">
      <alignment horizontal="center"/>
    </xf>
    <xf numFmtId="165" fontId="0" fillId="0" borderId="0" xfId="0" applyNumberFormat="1" applyFont="1"/>
    <xf numFmtId="164" fontId="9" fillId="5" borderId="3" xfId="0" applyNumberFormat="1" applyFont="1" applyFill="1" applyBorder="1" applyAlignment="1">
      <alignment horizontal="center" vertical="center" wrapText="1"/>
    </xf>
    <xf numFmtId="164" fontId="9" fillId="5" borderId="6" xfId="0" applyNumberFormat="1" applyFont="1" applyFill="1" applyBorder="1" applyAlignment="1">
      <alignment horizontal="center" vertical="center"/>
    </xf>
    <xf numFmtId="164" fontId="9" fillId="3" borderId="14" xfId="0" applyNumberFormat="1" applyFont="1" applyFill="1" applyBorder="1" applyAlignment="1">
      <alignment horizontal="center" vertical="center"/>
    </xf>
    <xf numFmtId="0" fontId="0" fillId="6" borderId="7" xfId="0" applyNumberFormat="1" applyFont="1" applyFill="1" applyBorder="1" applyAlignment="1">
      <alignment horizontal="left" vertical="center"/>
    </xf>
    <xf numFmtId="0" fontId="0" fillId="13" borderId="8" xfId="0" applyFont="1" applyFill="1" applyBorder="1" applyAlignment="1">
      <alignment horizontal="center" vertical="center" wrapText="1"/>
    </xf>
    <xf numFmtId="164" fontId="0" fillId="13" borderId="8" xfId="0" applyNumberFormat="1" applyFont="1" applyFill="1" applyBorder="1" applyAlignment="1">
      <alignment horizontal="center" vertical="center" wrapText="1"/>
    </xf>
    <xf numFmtId="0" fontId="0" fillId="13" borderId="8" xfId="0" applyFont="1" applyFill="1" applyBorder="1" applyAlignment="1">
      <alignment horizontal="justify" vertical="center" wrapText="1"/>
    </xf>
    <xf numFmtId="0" fontId="0" fillId="6" borderId="7" xfId="0" applyNumberFormat="1" applyFont="1" applyFill="1" applyBorder="1" applyAlignment="1">
      <alignment horizontal="left" vertical="center" wrapText="1"/>
    </xf>
    <xf numFmtId="0" fontId="0" fillId="13" borderId="7" xfId="0" applyNumberFormat="1" applyFont="1" applyFill="1" applyBorder="1" applyAlignment="1">
      <alignment horizontal="center" vertical="center"/>
    </xf>
    <xf numFmtId="0" fontId="0" fillId="13" borderId="7" xfId="0" applyNumberFormat="1" applyFont="1" applyFill="1" applyBorder="1" applyAlignment="1">
      <alignment horizontal="left" vertical="center" wrapText="1"/>
    </xf>
    <xf numFmtId="0" fontId="0" fillId="13" borderId="7" xfId="0" applyNumberFormat="1" applyFont="1" applyFill="1" applyBorder="1" applyAlignment="1">
      <alignment horizontal="left" vertical="center"/>
    </xf>
    <xf numFmtId="164" fontId="0" fillId="13" borderId="10" xfId="0" applyNumberFormat="1" applyFont="1" applyFill="1" applyBorder="1" applyAlignment="1">
      <alignment horizontal="center" vertical="center"/>
    </xf>
    <xf numFmtId="0" fontId="0" fillId="21" borderId="8" xfId="0" applyFont="1" applyFill="1" applyBorder="1" applyAlignment="1">
      <alignment horizontal="justify" vertical="center" wrapText="1"/>
    </xf>
    <xf numFmtId="0" fontId="0" fillId="21" borderId="7" xfId="0" applyNumberFormat="1" applyFont="1" applyFill="1" applyBorder="1" applyAlignment="1">
      <alignment horizontal="center" vertical="center"/>
    </xf>
    <xf numFmtId="0" fontId="0" fillId="21" borderId="8" xfId="0" applyFont="1" applyFill="1" applyBorder="1" applyAlignment="1">
      <alignment horizontal="center" vertical="center" wrapText="1"/>
    </xf>
    <xf numFmtId="164" fontId="0" fillId="13" borderId="23" xfId="0" applyNumberFormat="1" applyFont="1" applyFill="1" applyBorder="1" applyAlignment="1">
      <alignment horizontal="center" vertical="center"/>
    </xf>
    <xf numFmtId="164" fontId="0" fillId="13" borderId="47" xfId="0" applyNumberFormat="1" applyFont="1" applyFill="1" applyBorder="1" applyAlignment="1">
      <alignment horizontal="center" vertical="center"/>
    </xf>
    <xf numFmtId="165" fontId="9" fillId="5" borderId="48" xfId="0" applyNumberFormat="1" applyFont="1" applyFill="1" applyBorder="1" applyAlignment="1">
      <alignment horizontal="center" vertical="center"/>
    </xf>
    <xf numFmtId="164" fontId="0" fillId="13" borderId="0" xfId="0" applyNumberFormat="1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wrapText="1"/>
    </xf>
    <xf numFmtId="0" fontId="0" fillId="0" borderId="49" xfId="0" applyFont="1" applyBorder="1"/>
    <xf numFmtId="0" fontId="16" fillId="23" borderId="12" xfId="0" applyFont="1" applyFill="1" applyBorder="1" applyAlignment="1">
      <alignment horizontal="center" vertical="center" wrapText="1"/>
    </xf>
    <xf numFmtId="0" fontId="16" fillId="22" borderId="12" xfId="0" applyFont="1" applyFill="1" applyBorder="1" applyAlignment="1">
      <alignment horizontal="center" vertical="center" wrapText="1"/>
    </xf>
    <xf numFmtId="0" fontId="16" fillId="23" borderId="48" xfId="0" applyFont="1" applyFill="1" applyBorder="1" applyAlignment="1">
      <alignment horizontal="center" vertical="center" wrapText="1"/>
    </xf>
    <xf numFmtId="0" fontId="16" fillId="22" borderId="48" xfId="0" applyFont="1" applyFill="1" applyBorder="1" applyAlignment="1">
      <alignment horizontal="center" vertical="center" wrapText="1"/>
    </xf>
    <xf numFmtId="0" fontId="16" fillId="22" borderId="7" xfId="0" applyFont="1" applyFill="1" applyBorder="1" applyAlignment="1">
      <alignment horizontal="center" vertical="center" wrapText="1"/>
    </xf>
    <xf numFmtId="0" fontId="16" fillId="23" borderId="7" xfId="0" applyFont="1" applyFill="1" applyBorder="1" applyAlignment="1">
      <alignment horizontal="center" vertical="center" wrapText="1"/>
    </xf>
    <xf numFmtId="164" fontId="0" fillId="6" borderId="23" xfId="0" applyNumberFormat="1" applyFont="1" applyFill="1" applyBorder="1" applyAlignment="1">
      <alignment horizontal="center" vertical="center"/>
    </xf>
    <xf numFmtId="0" fontId="16" fillId="22" borderId="15" xfId="0" applyFont="1" applyFill="1" applyBorder="1" applyAlignment="1">
      <alignment horizontal="center" vertical="center" wrapText="1"/>
    </xf>
    <xf numFmtId="0" fontId="16" fillId="23" borderId="13" xfId="0" applyFont="1" applyFill="1" applyBorder="1" applyAlignment="1">
      <alignment horizontal="center" vertical="center" wrapText="1"/>
    </xf>
    <xf numFmtId="0" fontId="16" fillId="22" borderId="13" xfId="0" applyFont="1" applyFill="1" applyBorder="1" applyAlignment="1">
      <alignment horizontal="center" vertical="center" wrapText="1"/>
    </xf>
    <xf numFmtId="0" fontId="16" fillId="22" borderId="8" xfId="0" applyFont="1" applyFill="1" applyBorder="1" applyAlignment="1">
      <alignment horizontal="center" vertical="center" wrapText="1"/>
    </xf>
    <xf numFmtId="0" fontId="20" fillId="22" borderId="13" xfId="0" applyFont="1" applyFill="1" applyBorder="1" applyAlignment="1">
      <alignment horizontal="center" vertical="center" wrapText="1"/>
    </xf>
    <xf numFmtId="0" fontId="16" fillId="23" borderId="8" xfId="0" applyFont="1" applyFill="1" applyBorder="1" applyAlignment="1">
      <alignment horizontal="center" vertical="center" wrapText="1"/>
    </xf>
    <xf numFmtId="0" fontId="16" fillId="22" borderId="22" xfId="0" applyFont="1" applyFill="1" applyBorder="1" applyAlignment="1">
      <alignment horizontal="center" vertical="center" wrapText="1"/>
    </xf>
    <xf numFmtId="0" fontId="16" fillId="9" borderId="50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164" fontId="0" fillId="13" borderId="8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3" borderId="0" xfId="0" applyFont="1" applyFill="1" applyAlignment="1">
      <alignment horizontal="center" wrapText="1"/>
    </xf>
    <xf numFmtId="0" fontId="9" fillId="3" borderId="0" xfId="0" applyFont="1" applyFill="1" applyAlignment="1">
      <alignment horizontal="center"/>
    </xf>
    <xf numFmtId="0" fontId="8" fillId="0" borderId="0" xfId="0" applyFont="1" applyBorder="1" applyAlignment="1">
      <alignment horizontal="center"/>
    </xf>
    <xf numFmtId="0" fontId="9" fillId="3" borderId="16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9" borderId="0" xfId="0" applyFont="1" applyFill="1" applyAlignment="1">
      <alignment horizontal="center"/>
    </xf>
    <xf numFmtId="0" fontId="17" fillId="16" borderId="42" xfId="0" applyFont="1" applyFill="1" applyBorder="1" applyAlignment="1">
      <alignment horizontal="center"/>
    </xf>
    <xf numFmtId="0" fontId="17" fillId="16" borderId="43" xfId="0" applyFont="1" applyFill="1" applyBorder="1" applyAlignment="1">
      <alignment horizontal="center"/>
    </xf>
    <xf numFmtId="0" fontId="17" fillId="16" borderId="44" xfId="0" applyFont="1" applyFill="1" applyBorder="1" applyAlignment="1">
      <alignment horizontal="center"/>
    </xf>
    <xf numFmtId="0" fontId="18" fillId="14" borderId="8" xfId="0" applyFont="1" applyFill="1" applyBorder="1" applyAlignment="1">
      <alignment horizontal="left"/>
    </xf>
    <xf numFmtId="0" fontId="18" fillId="15" borderId="8" xfId="0" applyFont="1" applyFill="1" applyBorder="1" applyAlignment="1">
      <alignment horizontal="left"/>
    </xf>
    <xf numFmtId="0" fontId="19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49" fontId="20" fillId="17" borderId="30" xfId="0" applyNumberFormat="1" applyFont="1" applyFill="1" applyBorder="1" applyAlignment="1">
      <alignment horizontal="center" vertical="center"/>
    </xf>
    <xf numFmtId="0" fontId="20" fillId="17" borderId="32" xfId="0" applyFont="1" applyFill="1" applyBorder="1" applyAlignment="1">
      <alignment horizontal="center" vertical="center"/>
    </xf>
    <xf numFmtId="0" fontId="19" fillId="0" borderId="30" xfId="0" applyFont="1" applyBorder="1" applyAlignment="1">
      <alignment horizontal="left" vertical="center" wrapText="1"/>
    </xf>
    <xf numFmtId="0" fontId="19" fillId="0" borderId="32" xfId="0" applyFont="1" applyBorder="1" applyAlignment="1">
      <alignment horizontal="left" vertical="center" wrapText="1"/>
    </xf>
    <xf numFmtId="164" fontId="20" fillId="17" borderId="30" xfId="2" applyNumberFormat="1" applyFont="1" applyFill="1" applyBorder="1" applyAlignment="1" applyProtection="1">
      <alignment horizontal="right"/>
    </xf>
    <xf numFmtId="164" fontId="21" fillId="0" borderId="32" xfId="2" applyNumberFormat="1" applyFont="1" applyBorder="1" applyAlignment="1">
      <alignment horizontal="right"/>
    </xf>
    <xf numFmtId="14" fontId="20" fillId="17" borderId="30" xfId="0" applyNumberFormat="1" applyFont="1" applyFill="1" applyBorder="1" applyAlignment="1">
      <alignment horizontal="center" vertical="center" wrapText="1"/>
    </xf>
    <xf numFmtId="14" fontId="20" fillId="17" borderId="32" xfId="0" applyNumberFormat="1" applyFont="1" applyFill="1" applyBorder="1" applyAlignment="1">
      <alignment horizontal="center" vertical="center" wrapText="1"/>
    </xf>
    <xf numFmtId="166" fontId="20" fillId="17" borderId="30" xfId="0" applyNumberFormat="1" applyFont="1" applyFill="1" applyBorder="1" applyAlignment="1">
      <alignment horizontal="center"/>
    </xf>
    <xf numFmtId="166" fontId="20" fillId="17" borderId="32" xfId="0" applyNumberFormat="1" applyFont="1" applyFill="1" applyBorder="1" applyAlignment="1">
      <alignment horizontal="center"/>
    </xf>
    <xf numFmtId="0" fontId="19" fillId="0" borderId="30" xfId="0" applyFont="1" applyBorder="1" applyAlignment="1">
      <alignment horizontal="center" wrapText="1"/>
    </xf>
    <xf numFmtId="0" fontId="19" fillId="0" borderId="31" xfId="0" applyFont="1" applyBorder="1" applyAlignment="1">
      <alignment horizontal="center" wrapText="1"/>
    </xf>
    <xf numFmtId="164" fontId="20" fillId="0" borderId="30" xfId="2" applyNumberFormat="1" applyFont="1" applyFill="1" applyBorder="1" applyAlignment="1" applyProtection="1">
      <alignment horizontal="center" vertical="center"/>
    </xf>
    <xf numFmtId="164" fontId="20" fillId="0" borderId="37" xfId="2" applyNumberFormat="1" applyFont="1" applyFill="1" applyBorder="1" applyAlignment="1" applyProtection="1">
      <alignment horizontal="center" vertical="center"/>
    </xf>
    <xf numFmtId="49" fontId="19" fillId="0" borderId="31" xfId="0" applyNumberFormat="1" applyFont="1" applyBorder="1" applyAlignment="1">
      <alignment horizontal="center" vertical="center"/>
    </xf>
    <xf numFmtId="0" fontId="19" fillId="15" borderId="30" xfId="0" applyFont="1" applyFill="1" applyBorder="1" applyAlignment="1">
      <alignment horizontal="left" vertical="center" wrapText="1"/>
    </xf>
    <xf numFmtId="0" fontId="19" fillId="15" borderId="32" xfId="0" applyFont="1" applyFill="1" applyBorder="1" applyAlignment="1">
      <alignment horizontal="left" vertical="center" wrapText="1"/>
    </xf>
    <xf numFmtId="0" fontId="19" fillId="18" borderId="30" xfId="0" applyFont="1" applyFill="1" applyBorder="1" applyAlignment="1">
      <alignment horizontal="center" vertical="center"/>
    </xf>
    <xf numFmtId="0" fontId="19" fillId="18" borderId="32" xfId="0" applyFont="1" applyFill="1" applyBorder="1" applyAlignment="1">
      <alignment horizontal="center" vertical="center"/>
    </xf>
    <xf numFmtId="0" fontId="19" fillId="0" borderId="25" xfId="0" applyFont="1" applyBorder="1" applyAlignment="1">
      <alignment horizontal="center"/>
    </xf>
    <xf numFmtId="0" fontId="19" fillId="0" borderId="30" xfId="0" applyFont="1" applyBorder="1" applyAlignment="1">
      <alignment horizontal="center"/>
    </xf>
    <xf numFmtId="0" fontId="19" fillId="0" borderId="31" xfId="0" applyFont="1" applyBorder="1" applyAlignment="1">
      <alignment horizontal="center"/>
    </xf>
    <xf numFmtId="0" fontId="20" fillId="0" borderId="35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166" fontId="19" fillId="19" borderId="30" xfId="0" applyNumberFormat="1" applyFont="1" applyFill="1" applyBorder="1" applyAlignment="1">
      <alignment horizontal="right"/>
    </xf>
    <xf numFmtId="0" fontId="0" fillId="0" borderId="32" xfId="0" applyBorder="1" applyAlignment="1">
      <alignment horizontal="right"/>
    </xf>
    <xf numFmtId="166" fontId="20" fillId="17" borderId="30" xfId="0" applyNumberFormat="1" applyFont="1" applyFill="1" applyBorder="1" applyAlignment="1">
      <alignment horizontal="right"/>
    </xf>
    <xf numFmtId="0" fontId="20" fillId="0" borderId="40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14" fontId="20" fillId="0" borderId="35" xfId="0" applyNumberFormat="1" applyFont="1" applyBorder="1" applyAlignment="1">
      <alignment horizontal="center" vertical="center"/>
    </xf>
    <xf numFmtId="0" fontId="20" fillId="0" borderId="30" xfId="0" applyFont="1" applyBorder="1" applyAlignment="1">
      <alignment horizontal="left"/>
    </xf>
    <xf numFmtId="0" fontId="20" fillId="0" borderId="32" xfId="0" applyFont="1" applyBorder="1" applyAlignment="1">
      <alignment horizontal="left"/>
    </xf>
    <xf numFmtId="166" fontId="20" fillId="17" borderId="38" xfId="0" applyNumberFormat="1" applyFont="1" applyFill="1" applyBorder="1" applyAlignment="1">
      <alignment horizontal="right"/>
    </xf>
    <xf numFmtId="166" fontId="20" fillId="17" borderId="32" xfId="0" applyNumberFormat="1" applyFont="1" applyFill="1" applyBorder="1" applyAlignment="1">
      <alignment horizontal="right"/>
    </xf>
    <xf numFmtId="49" fontId="19" fillId="0" borderId="31" xfId="0" applyNumberFormat="1" applyFont="1" applyBorder="1" applyAlignment="1">
      <alignment horizontal="center" vertical="justify"/>
    </xf>
    <xf numFmtId="166" fontId="19" fillId="20" borderId="38" xfId="0" applyNumberFormat="1" applyFont="1" applyFill="1" applyBorder="1" applyAlignment="1">
      <alignment horizontal="right"/>
    </xf>
    <xf numFmtId="172" fontId="20" fillId="0" borderId="30" xfId="3" applyNumberFormat="1" applyFont="1" applyBorder="1" applyAlignment="1" applyProtection="1">
      <alignment horizontal="left"/>
    </xf>
    <xf numFmtId="172" fontId="20" fillId="0" borderId="32" xfId="3" applyNumberFormat="1" applyFont="1" applyBorder="1" applyAlignment="1" applyProtection="1">
      <alignment horizontal="left"/>
    </xf>
    <xf numFmtId="0" fontId="19" fillId="19" borderId="30" xfId="0" applyFont="1" applyFill="1" applyBorder="1" applyAlignment="1">
      <alignment horizontal="left" wrapText="1"/>
    </xf>
    <xf numFmtId="0" fontId="19" fillId="19" borderId="32" xfId="0" applyFont="1" applyFill="1" applyBorder="1" applyAlignment="1">
      <alignment horizontal="left" wrapText="1"/>
    </xf>
    <xf numFmtId="0" fontId="19" fillId="0" borderId="32" xfId="0" applyFont="1" applyBorder="1" applyAlignment="1">
      <alignment horizontal="center" wrapText="1"/>
    </xf>
    <xf numFmtId="0" fontId="20" fillId="0" borderId="30" xfId="0" applyFont="1" applyBorder="1" applyAlignment="1">
      <alignment horizontal="center" wrapText="1"/>
    </xf>
    <xf numFmtId="0" fontId="20" fillId="0" borderId="31" xfId="0" applyFont="1" applyBorder="1" applyAlignment="1">
      <alignment horizontal="center" wrapText="1"/>
    </xf>
    <xf numFmtId="0" fontId="20" fillId="0" borderId="32" xfId="0" applyFont="1" applyBorder="1" applyAlignment="1">
      <alignment horizontal="center" wrapText="1"/>
    </xf>
    <xf numFmtId="0" fontId="20" fillId="0" borderId="30" xfId="0" applyFont="1" applyBorder="1" applyAlignment="1">
      <alignment horizontal="left" vertical="center" wrapText="1"/>
    </xf>
    <xf numFmtId="0" fontId="20" fillId="0" borderId="32" xfId="0" applyFont="1" applyBorder="1" applyAlignment="1">
      <alignment horizontal="left" vertical="center" wrapText="1"/>
    </xf>
    <xf numFmtId="166" fontId="20" fillId="17" borderId="30" xfId="0" applyNumberFormat="1" applyFont="1" applyFill="1" applyBorder="1" applyAlignment="1">
      <alignment horizontal="right" vertical="center"/>
    </xf>
    <xf numFmtId="0" fontId="0" fillId="0" borderId="32" xfId="0" applyBorder="1" applyAlignment="1">
      <alignment horizontal="right" vertical="center"/>
    </xf>
    <xf numFmtId="0" fontId="19" fillId="19" borderId="30" xfId="0" applyFont="1" applyFill="1" applyBorder="1" applyAlignment="1">
      <alignment horizontal="left"/>
    </xf>
    <xf numFmtId="0" fontId="19" fillId="19" borderId="32" xfId="0" applyFont="1" applyFill="1" applyBorder="1" applyAlignment="1">
      <alignment horizontal="left"/>
    </xf>
    <xf numFmtId="0" fontId="20" fillId="0" borderId="31" xfId="0" applyFont="1" applyBorder="1" applyAlignment="1">
      <alignment horizontal="left" wrapText="1"/>
    </xf>
    <xf numFmtId="0" fontId="20" fillId="0" borderId="32" xfId="0" applyFont="1" applyBorder="1" applyAlignment="1">
      <alignment horizontal="left" wrapText="1"/>
    </xf>
    <xf numFmtId="0" fontId="19" fillId="0" borderId="30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166" fontId="19" fillId="17" borderId="30" xfId="0" applyNumberFormat="1" applyFont="1" applyFill="1" applyBorder="1" applyAlignment="1">
      <alignment horizontal="right" vertical="center"/>
    </xf>
    <xf numFmtId="166" fontId="19" fillId="17" borderId="32" xfId="0" applyNumberFormat="1" applyFont="1" applyFill="1" applyBorder="1" applyAlignment="1">
      <alignment horizontal="right" vertical="center"/>
    </xf>
    <xf numFmtId="0" fontId="20" fillId="0" borderId="30" xfId="0" applyFont="1" applyBorder="1" applyAlignment="1">
      <alignment horizontal="left" wrapText="1"/>
    </xf>
    <xf numFmtId="0" fontId="19" fillId="19" borderId="30" xfId="0" applyFont="1" applyFill="1" applyBorder="1" applyAlignment="1">
      <alignment horizontal="center" wrapText="1"/>
    </xf>
    <xf numFmtId="0" fontId="19" fillId="19" borderId="32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/>
    </xf>
    <xf numFmtId="0" fontId="14" fillId="2" borderId="0" xfId="0" applyFont="1" applyFill="1" applyAlignment="1">
      <alignment horizontal="center" vertical="center" textRotation="90"/>
    </xf>
    <xf numFmtId="0" fontId="8" fillId="9" borderId="0" xfId="0" applyFont="1" applyFill="1" applyAlignment="1">
      <alignment horizontal="center" vertical="center"/>
    </xf>
    <xf numFmtId="0" fontId="9" fillId="3" borderId="9" xfId="0" applyFont="1" applyFill="1" applyBorder="1" applyAlignment="1">
      <alignment horizontal="center"/>
    </xf>
    <xf numFmtId="0" fontId="9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/>
    </xf>
    <xf numFmtId="0" fontId="9" fillId="5" borderId="45" xfId="0" applyFont="1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164" fontId="0" fillId="24" borderId="8" xfId="0" applyNumberFormat="1" applyFill="1" applyBorder="1" applyAlignment="1">
      <alignment horizontal="center" vertical="center"/>
    </xf>
  </cellXfs>
  <cellStyles count="5">
    <cellStyle name="Excel Built-in Normal" xfId="1" xr:uid="{00000000-0005-0000-0000-000000000000}"/>
    <cellStyle name="Moeda" xfId="2" builtinId="4"/>
    <cellStyle name="Moeda 2" xfId="4" xr:uid="{00000000-0005-0000-0000-000002000000}"/>
    <cellStyle name="Normal" xfId="0" builtinId="0"/>
    <cellStyle name="Porcentagem" xfId="3" builtinId="5"/>
  </cellStyles>
  <dxfs count="11"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border>
        <vertical/>
        <horizontal style="thin">
          <color auto="1"/>
        </horizontal>
      </border>
    </dxf>
    <dxf>
      <border>
        <vertical/>
        <horizontal style="thin">
          <color auto="1"/>
        </horizontal>
      </border>
    </dxf>
  </dxfs>
  <tableStyles count="1" defaultTableStyle="TableStyleMedium2" defaultPivotStyle="PivotStyleLight16">
    <tableStyle name="Table Style 1" pivot="0" count="2" xr9:uid="{00000000-0011-0000-FFFF-FFFF00000000}">
      <tableStyleElement type="firstRowStripe" dxfId="10"/>
      <tableStyleElement type="firstHeaderCell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26" Type="http://schemas.openxmlformats.org/officeDocument/2006/relationships/customXml" Target="../customXml/item13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8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5" Type="http://schemas.openxmlformats.org/officeDocument/2006/relationships/customXml" Target="../customXml/item1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20" Type="http://schemas.openxmlformats.org/officeDocument/2006/relationships/customXml" Target="../customXml/item7.xml"/><Relationship Id="rId29" Type="http://schemas.openxmlformats.org/officeDocument/2006/relationships/customXml" Target="../customXml/item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24" Type="http://schemas.openxmlformats.org/officeDocument/2006/relationships/customXml" Target="../customXml/item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23" Type="http://schemas.openxmlformats.org/officeDocument/2006/relationships/customXml" Target="../customXml/item10.xml"/><Relationship Id="rId28" Type="http://schemas.openxmlformats.org/officeDocument/2006/relationships/customXml" Target="../customXml/item15.xml"/><Relationship Id="rId10" Type="http://schemas.openxmlformats.org/officeDocument/2006/relationships/connections" Target="connections.xml"/><Relationship Id="rId19" Type="http://schemas.openxmlformats.org/officeDocument/2006/relationships/customXml" Target="../customXml/item6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Relationship Id="rId22" Type="http://schemas.openxmlformats.org/officeDocument/2006/relationships/customXml" Target="../customXml/item9.xml"/><Relationship Id="rId27" Type="http://schemas.openxmlformats.org/officeDocument/2006/relationships/customXml" Target="../customXml/item14.xml"/><Relationship Id="rId30" Type="http://schemas.openxmlformats.org/officeDocument/2006/relationships/customXml" Target="../customXml/item1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00000000}" name="Table4252" displayName="Table4252" ref="A2:D7" totalsRowShown="0">
  <tableColumns count="4">
    <tableColumn id="1" xr3:uid="{00000000-0010-0000-0000-000001000000}" name="Item"/>
    <tableColumn id="2" xr3:uid="{00000000-0010-0000-0000-000002000000}" name="Descrição"/>
    <tableColumn id="3" xr3:uid="{00000000-0010-0000-0000-000003000000}" name="Comentário"/>
    <tableColumn id="4" xr3:uid="{00000000-0010-0000-0000-000004000000}" name="Valor"/>
  </tableColumns>
  <tableStyleInfo name="TableStyleMedium14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09000000}" name="ResumoMódulo427" displayName="ResumoMódulo427" ref="A110:D113" totalsRowCount="1">
  <autoFilter ref="A110:D112" xr:uid="{00000000-0009-0000-0100-00003C000000}"/>
  <tableColumns count="4">
    <tableColumn id="1" xr3:uid="{00000000-0010-0000-0900-000001000000}" name="4" totalsRowLabel="Total"/>
    <tableColumn id="2" xr3:uid="{00000000-0010-0000-0900-000002000000}" name="Custo de Reposição do Profissional Ausente"/>
    <tableColumn id="3" xr3:uid="{00000000-0010-0000-0900-000003000000}" name="Comentário"/>
    <tableColumn id="4" xr3:uid="{00000000-0010-0000-0900-000004000000}" name="Valor" totalsRowFunction="sum"/>
  </tableColumns>
  <tableStyleInfo name="TableStyleMedium1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0A000000}" name="Módulo528" displayName="Módulo528" ref="A116:D121" totalsRowCount="1">
  <autoFilter ref="A116:D120" xr:uid="{00000000-0009-0000-0100-00003D000000}"/>
  <tableColumns count="4">
    <tableColumn id="1" xr3:uid="{00000000-0010-0000-0A00-000001000000}" name="5" totalsRowLabel="Total"/>
    <tableColumn id="2" xr3:uid="{00000000-0010-0000-0A00-000002000000}" name="Insumos Diversos"/>
    <tableColumn id="3" xr3:uid="{00000000-0010-0000-0A00-000003000000}" name="Comentário"/>
    <tableColumn id="4" xr3:uid="{00000000-0010-0000-0A00-000004000000}" name="Valor" totalsRowFunction="sum"/>
  </tableColumns>
  <tableStyleInfo name="TableStyleMedium14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0B000000}" name="Módulo629" displayName="Módulo629" ref="A131:D138" totalsRowCount="1">
  <tableColumns count="4">
    <tableColumn id="1" xr3:uid="{00000000-0010-0000-0B00-000001000000}" name="6" totalsRowLabel="Total"/>
    <tableColumn id="2" xr3:uid="{00000000-0010-0000-0B00-000002000000}" name="Custos Indiretos, Tributos e Lucro"/>
    <tableColumn id="3" xr3:uid="{00000000-0010-0000-0B00-000003000000}" name="Percentual"/>
    <tableColumn id="4" xr3:uid="{00000000-0010-0000-0B00-000004000000}" name="Valor" totalsRowFunction="custom">
      <totalsRowFormula>SUM(D132:D134)</totalsRowFormula>
    </tableColumn>
  </tableColumns>
  <tableStyleInfo name="TableStyleMedium14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0C000000}" name="ResumoPosto30" displayName="ResumoPosto30" ref="A142:D150">
  <autoFilter ref="A142:D150" xr:uid="{00000000-0009-0000-0100-00003F000000}"/>
  <tableColumns count="4">
    <tableColumn id="1" xr3:uid="{00000000-0010-0000-0C00-000001000000}" name="Item" totalsRowLabel="Total"/>
    <tableColumn id="2" xr3:uid="{00000000-0010-0000-0C00-000002000000}" name="Mão de obra vinculada à execução contratual"/>
    <tableColumn id="3" xr3:uid="{00000000-0010-0000-0C00-000003000000}" name="-"/>
    <tableColumn id="4" xr3:uid="{00000000-0010-0000-0C00-000004000000}" name="Valor" totalsRowFunction="sum"/>
  </tableColumns>
  <tableStyleInfo name="TableStyleMedium14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0D000000}" name="DadosGerais31" displayName="DadosGerais31" ref="F2:G6" totalsRowShown="0">
  <autoFilter ref="F2:G6" xr:uid="{00000000-0009-0000-0100-000040000000}"/>
  <tableColumns count="2">
    <tableColumn id="1" xr3:uid="{00000000-0010-0000-0D00-000001000000}" name="Descrição"/>
    <tableColumn id="2" xr3:uid="{00000000-0010-0000-0D00-000002000000}" name="Valor"/>
  </tableColumns>
  <tableStyleInfo name="TableStyleMedium14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0E000000}" name="DadosDesligamento32" displayName="DadosDesligamento32" ref="F9:G12" totalsRowShown="0">
  <autoFilter ref="F9:G12" xr:uid="{00000000-0009-0000-0100-000041000000}"/>
  <tableColumns count="2">
    <tableColumn id="1" xr3:uid="{00000000-0010-0000-0E00-000001000000}" name="Tipos"/>
    <tableColumn id="2" xr3:uid="{00000000-0010-0000-0E00-000002000000}" name="Percentual"/>
  </tableColumns>
  <tableStyleInfo name="TableStyleMedium14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0F000000}" name="CITL33" displayName="CITL33" ref="F15:G20" totalsRowShown="0">
  <autoFilter ref="F15:G20" xr:uid="{00000000-0009-0000-0100-000042000000}"/>
  <tableColumns count="2">
    <tableColumn id="1" xr3:uid="{00000000-0010-0000-0F00-000001000000}" name="Descrição"/>
    <tableColumn id="2" xr3:uid="{00000000-0010-0000-0F00-000002000000}" name="Percentual"/>
  </tableColumns>
  <tableStyleInfo name="TableStyleMedium14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10000000}" name="Table868" displayName="Table868" ref="A27:D29" totalsRowShown="0">
  <autoFilter ref="A27:D29" xr:uid="{00000000-0009-0000-0100-000043000000}"/>
  <tableColumns count="4">
    <tableColumn id="1" xr3:uid="{00000000-0010-0000-1000-000001000000}" name="Item"/>
    <tableColumn id="2" xr3:uid="{00000000-0010-0000-1000-000002000000}" name="Rubrica"/>
    <tableColumn id="3" xr3:uid="{00000000-0010-0000-1000-000003000000}" name="Base de Cálculo"/>
    <tableColumn id="4" xr3:uid="{00000000-0010-0000-1000-000004000000}" name="Memória de Cálculo"/>
  </tableColumns>
  <tableStyleInfo name="TableStyleLight18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11000000}" name="Table83969" displayName="Table83969" ref="A44:D45" totalsRowShown="0">
  <autoFilter ref="A44:D45" xr:uid="{00000000-0009-0000-0100-000044000000}"/>
  <tableColumns count="4">
    <tableColumn id="1" xr3:uid="{00000000-0010-0000-1100-000001000000}" name="Item"/>
    <tableColumn id="2" xr3:uid="{00000000-0010-0000-1100-000002000000}" name="Rubrica"/>
    <tableColumn id="3" xr3:uid="{00000000-0010-0000-1100-000003000000}" name="Base de Cálculo"/>
    <tableColumn id="4" xr3:uid="{00000000-0010-0000-1100-000004000000}" name="Memória de Cálculo"/>
  </tableColumns>
  <tableStyleInfo name="TableStyleLight18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12000000}" name="Table84270" displayName="Table84270" ref="A57:D59" totalsRowShown="0">
  <autoFilter ref="A57:D59" xr:uid="{00000000-0009-0000-0100-000045000000}"/>
  <tableColumns count="4">
    <tableColumn id="1" xr3:uid="{00000000-0010-0000-1200-000001000000}" name="Item"/>
    <tableColumn id="2" xr3:uid="{00000000-0010-0000-1200-000002000000}" name="Rubrica"/>
    <tableColumn id="3" xr3:uid="{00000000-0010-0000-1200-000003000000}" name="Base de Cálculo"/>
    <tableColumn id="4" xr3:uid="{00000000-0010-0000-1200-000004000000}" name="Memória de Cálculo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01000000}" name="Módulo13" displayName="Módulo13" ref="A10:D17" totalsRowCount="1">
  <autoFilter ref="A10:D16" xr:uid="{00000000-0009-0000-0100-000034000000}"/>
  <tableColumns count="4">
    <tableColumn id="1" xr3:uid="{00000000-0010-0000-0100-000001000000}" name="1" totalsRowLabel="Total"/>
    <tableColumn id="2" xr3:uid="{00000000-0010-0000-0100-000002000000}" name="Composição da Remuneração"/>
    <tableColumn id="3" xr3:uid="{00000000-0010-0000-0100-000003000000}" name="Comentário"/>
    <tableColumn id="4" xr3:uid="{00000000-0010-0000-0100-000004000000}" name="Valor" totalsRowFunction="sum"/>
  </tableColumns>
  <tableStyleInfo name="TableStyleMedium14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13000000}" name="Table8423771" displayName="Table8423771" ref="A79:D85" totalsRowShown="0">
  <autoFilter ref="A79:D85" xr:uid="{00000000-0009-0000-0100-000046000000}"/>
  <tableColumns count="4">
    <tableColumn id="1" xr3:uid="{00000000-0010-0000-1300-000001000000}" name="Item"/>
    <tableColumn id="2" xr3:uid="{00000000-0010-0000-1300-000002000000}" name="Rubrica"/>
    <tableColumn id="3" xr3:uid="{00000000-0010-0000-1300-000003000000}" name="Base de Cálculo"/>
    <tableColumn id="4" xr3:uid="{00000000-0010-0000-1300-000004000000}" name="Memória de Cálculo"/>
  </tableColumns>
  <tableStyleInfo name="TableStyleLight18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14000000}" name="Table8423872" displayName="Table8423872" ref="A99:D102" totalsRowShown="0">
  <autoFilter ref="A99:D102" xr:uid="{00000000-0009-0000-0100-000047000000}"/>
  <tableColumns count="4">
    <tableColumn id="1" xr3:uid="{00000000-0010-0000-1400-000001000000}" name="Item"/>
    <tableColumn id="2" xr3:uid="{00000000-0010-0000-1400-000002000000}" name="Rubrica"/>
    <tableColumn id="3" xr3:uid="{00000000-0010-0000-1400-000003000000}" name="Base de Cálculo"/>
    <tableColumn id="4" xr3:uid="{00000000-0010-0000-1400-000004000000}" name="Memória de Cálculo"/>
  </tableColumns>
  <tableStyleInfo name="TableStyleLight18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15000000}" name="Table842385173" displayName="Table842385173" ref="A124:D128" totalsRowShown="0">
  <autoFilter ref="A124:D128" xr:uid="{00000000-0009-0000-0100-000048000000}"/>
  <tableColumns count="4">
    <tableColumn id="1" xr3:uid="{00000000-0010-0000-1500-000001000000}" name="Item"/>
    <tableColumn id="2" xr3:uid="{00000000-0010-0000-1500-000002000000}" name="Rubrica"/>
    <tableColumn id="3" xr3:uid="{00000000-0010-0000-1500-000003000000}" name="Base de Cálculo"/>
    <tableColumn id="4" xr3:uid="{00000000-0010-0000-1500-000004000000}" name="Memória de Cálculo"/>
  </tableColumns>
  <tableStyleInfo name="TableStyleLight18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16000000}" name="Tabela6" displayName="Tabela6" ref="F23:G25" totalsRowShown="0">
  <autoFilter ref="F23:G25" xr:uid="{00000000-0009-0000-0100-00004C000000}"/>
  <tableColumns count="2">
    <tableColumn id="1" xr3:uid="{00000000-0010-0000-1600-000001000000}" name="Descrição"/>
    <tableColumn id="2" xr3:uid="{00000000-0010-0000-1600-000002000000}" name="Valor"/>
  </tableColumns>
  <tableStyleInfo name="TableStyleMedium14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17000000}" name="Table425278" displayName="Table425278" ref="A2:D7" totalsRowShown="0">
  <tableColumns count="4">
    <tableColumn id="1" xr3:uid="{00000000-0010-0000-1700-000001000000}" name="Item"/>
    <tableColumn id="2" xr3:uid="{00000000-0010-0000-1700-000002000000}" name="Descrição"/>
    <tableColumn id="3" xr3:uid="{00000000-0010-0000-1700-000003000000}" name="Comentário"/>
    <tableColumn id="4" xr3:uid="{00000000-0010-0000-1700-000004000000}" name="Valor"/>
  </tableColumns>
  <tableStyleInfo name="TableStyleMedium14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18000000}" name="Módulo1379" displayName="Módulo1379" ref="A10:D17" totalsRowCount="1">
  <autoFilter ref="A10:D16" xr:uid="{00000000-0009-0000-0100-00004E000000}"/>
  <tableColumns count="4">
    <tableColumn id="1" xr3:uid="{00000000-0010-0000-1800-000001000000}" name="1" totalsRowLabel="Total"/>
    <tableColumn id="2" xr3:uid="{00000000-0010-0000-1800-000002000000}" name="Composição da Remuneração"/>
    <tableColumn id="3" xr3:uid="{00000000-0010-0000-1800-000003000000}" name="Comentário"/>
    <tableColumn id="4" xr3:uid="{00000000-0010-0000-1800-000004000000}" name="Valor" totalsRowFunction="sum"/>
  </tableColumns>
  <tableStyleInfo name="TableStyleMedium14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19000000}" name="Submódulo2.1480" displayName="Submódulo2.1480" ref="A21:D24" totalsRowCount="1">
  <autoFilter ref="A21:D23" xr:uid="{00000000-0009-0000-0100-00004F000000}"/>
  <tableColumns count="4">
    <tableColumn id="1" xr3:uid="{00000000-0010-0000-1900-000001000000}" name="2.1" totalsRowLabel="Total"/>
    <tableColumn id="2" xr3:uid="{00000000-0010-0000-1900-000002000000}" name="13º (décimo terceiro) Salário e Adicional de Férias"/>
    <tableColumn id="3" xr3:uid="{00000000-0010-0000-1900-000003000000}" name="Comentário"/>
    <tableColumn id="4" xr3:uid="{00000000-0010-0000-1900-000004000000}" name="Valor" totalsRowFunction="sum"/>
  </tableColumns>
  <tableStyleInfo name="TableStyleMedium14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00000000-000C-0000-FFFF-FFFF1A000000}" name="Submódulo2.2681" displayName="Submódulo2.2681" ref="A32:D41" totalsRowCount="1">
  <autoFilter ref="A32:D40" xr:uid="{00000000-0009-0000-0100-000050000000}"/>
  <tableColumns count="4">
    <tableColumn id="1" xr3:uid="{00000000-0010-0000-1A00-000001000000}" name="2.2" totalsRowLabel="Total"/>
    <tableColumn id="2" xr3:uid="{00000000-0010-0000-1A00-000002000000}" name="GPS, FGTS e outras contribuições"/>
    <tableColumn id="3" xr3:uid="{00000000-0010-0000-1A00-000003000000}" name="Percentual" totalsRowFunction="sum"/>
    <tableColumn id="4" xr3:uid="{00000000-0010-0000-1A00-000004000000}" name="Valor " totalsRowFunction="sum"/>
  </tableColumns>
  <tableStyleInfo name="TableStyleMedium14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1B000000}" name="Submódulo2.3882" displayName="Submódulo2.3882" ref="A48:D54" totalsRowCount="1">
  <autoFilter ref="A48:D53" xr:uid="{00000000-0009-0000-0100-000051000000}"/>
  <tableColumns count="4">
    <tableColumn id="1" xr3:uid="{00000000-0010-0000-1B00-000001000000}" name="2.3" totalsRowLabel="Total"/>
    <tableColumn id="2" xr3:uid="{00000000-0010-0000-1B00-000002000000}" name="Benefícios Mensais e Diários"/>
    <tableColumn id="3" xr3:uid="{00000000-0010-0000-1B00-000003000000}" name="Comentário"/>
    <tableColumn id="4" xr3:uid="{00000000-0010-0000-1B00-000004000000}" name="Valor" totalsRowFunction="sum"/>
  </tableColumns>
  <tableStyleInfo name="TableStyleMedium14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1C000000}" name="ResumoMódulo2983" displayName="ResumoMódulo2983" ref="A62:D66" totalsRowCount="1">
  <autoFilter ref="A62:D65" xr:uid="{00000000-0009-0000-0100-000052000000}"/>
  <tableColumns count="4">
    <tableColumn id="1" xr3:uid="{00000000-0010-0000-1C00-000001000000}" name="2" totalsRowLabel="Total"/>
    <tableColumn id="2" xr3:uid="{00000000-0010-0000-1C00-000002000000}" name="Encargos e Benefícios Anuais, Mensais e Diários"/>
    <tableColumn id="3" xr3:uid="{00000000-0010-0000-1C00-000003000000}" name="Comentário"/>
    <tableColumn id="4" xr3:uid="{00000000-0010-0000-1C00-000004000000}" name="Valor" totalsRowFunction="sum"/>
  </tableColumns>
  <tableStyleInfo name="TableStyleMedium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02000000}" name="Submódulo2.14" displayName="Submódulo2.14" ref="A21:D24" totalsRowCount="1">
  <autoFilter ref="A21:D23" xr:uid="{00000000-0009-0000-0100-000035000000}"/>
  <tableColumns count="4">
    <tableColumn id="1" xr3:uid="{00000000-0010-0000-0200-000001000000}" name="2.1" totalsRowLabel="Total"/>
    <tableColumn id="2" xr3:uid="{00000000-0010-0000-0200-000002000000}" name="13º (décimo terceiro) Salário e Adicional de Férias"/>
    <tableColumn id="3" xr3:uid="{00000000-0010-0000-0200-000003000000}" name="Comentário"/>
    <tableColumn id="4" xr3:uid="{00000000-0010-0000-0200-000004000000}" name="Valor" totalsRowFunction="sum"/>
  </tableColumns>
  <tableStyleInfo name="TableStyleMedium14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1D000000}" name="Módulo32484" displayName="Módulo32484" ref="A69:D76" totalsRowCount="1">
  <autoFilter ref="A69:D75" xr:uid="{00000000-0009-0000-0100-000053000000}"/>
  <tableColumns count="4">
    <tableColumn id="1" xr3:uid="{00000000-0010-0000-1D00-000001000000}" name="3" totalsRowLabel="Total"/>
    <tableColumn id="2" xr3:uid="{00000000-0010-0000-1D00-000002000000}" name="Provisão para Rescisão"/>
    <tableColumn id="3" xr3:uid="{00000000-0010-0000-1D00-000003000000}" name="Comentário"/>
    <tableColumn id="4" xr3:uid="{00000000-0010-0000-1D00-000004000000}" name="Valor" totalsRowFunction="sum"/>
  </tableColumns>
  <tableStyleInfo name="TableStyleMedium14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1E000000}" name="Submódulo4.12585" displayName="Submódulo4.12585" ref="A89:D96" totalsRowCount="1">
  <autoFilter ref="A89:D95" xr:uid="{00000000-0009-0000-0100-000054000000}"/>
  <tableColumns count="4">
    <tableColumn id="1" xr3:uid="{00000000-0010-0000-1E00-000001000000}" name="4.1" totalsRowLabel="Total"/>
    <tableColumn id="2" xr3:uid="{00000000-0010-0000-1E00-000002000000}" name="Substituto nas Ausências Legais"/>
    <tableColumn id="3" xr3:uid="{00000000-0010-0000-1E00-000003000000}" name="Dias de ausência" totalsRowFunction="sum"/>
    <tableColumn id="4" xr3:uid="{00000000-0010-0000-1E00-000004000000}" name="Valor" totalsRowFunction="sum"/>
  </tableColumns>
  <tableStyleInfo name="TableStyleMedium14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1F000000}" name="Submódulo4.22686" displayName="Submódulo4.22686" ref="A105:D107" totalsRowCount="1">
  <autoFilter ref="A105:D106" xr:uid="{00000000-0009-0000-0100-000055000000}"/>
  <tableColumns count="4">
    <tableColumn id="1" xr3:uid="{00000000-0010-0000-1F00-000001000000}" name="4.2" totalsRowLabel="Total"/>
    <tableColumn id="2" xr3:uid="{00000000-0010-0000-1F00-000002000000}" name="Substituto na Intrajornada "/>
    <tableColumn id="3" xr3:uid="{00000000-0010-0000-1F00-000003000000}" name="Comentário"/>
    <tableColumn id="4" xr3:uid="{00000000-0010-0000-1F00-000004000000}" name="Valor" totalsRowFunction="sum"/>
  </tableColumns>
  <tableStyleInfo name="TableStyleMedium14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20000000}" name="ResumoMódulo42787" displayName="ResumoMódulo42787" ref="A110:D113" totalsRowCount="1">
  <autoFilter ref="A110:D112" xr:uid="{00000000-0009-0000-0100-000056000000}"/>
  <tableColumns count="4">
    <tableColumn id="1" xr3:uid="{00000000-0010-0000-2000-000001000000}" name="4" totalsRowLabel="Total"/>
    <tableColumn id="2" xr3:uid="{00000000-0010-0000-2000-000002000000}" name="Custo de Reposição do Profissional Ausente"/>
    <tableColumn id="3" xr3:uid="{00000000-0010-0000-2000-000003000000}" name="Comentário"/>
    <tableColumn id="4" xr3:uid="{00000000-0010-0000-2000-000004000000}" name="Valor" totalsRowFunction="sum"/>
  </tableColumns>
  <tableStyleInfo name="TableStyleMedium14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21000000}" name="Módulo52888" displayName="Módulo52888" ref="A116:D121" totalsRowCount="1">
  <autoFilter ref="A116:D120" xr:uid="{00000000-0009-0000-0100-000057000000}"/>
  <tableColumns count="4">
    <tableColumn id="1" xr3:uid="{00000000-0010-0000-2100-000001000000}" name="5" totalsRowLabel="Total"/>
    <tableColumn id="2" xr3:uid="{00000000-0010-0000-2100-000002000000}" name="Insumos Diversos"/>
    <tableColumn id="3" xr3:uid="{00000000-0010-0000-2100-000003000000}" name="Comentário"/>
    <tableColumn id="4" xr3:uid="{00000000-0010-0000-2100-000004000000}" name="Valor" totalsRowFunction="sum"/>
  </tableColumns>
  <tableStyleInfo name="TableStyleMedium14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22000000}" name="Módulo62989" displayName="Módulo62989" ref="A131:D138" totalsRowCount="1">
  <tableColumns count="4">
    <tableColumn id="1" xr3:uid="{00000000-0010-0000-2200-000001000000}" name="6" totalsRowLabel="Total"/>
    <tableColumn id="2" xr3:uid="{00000000-0010-0000-2200-000002000000}" name="Custos Indiretos, Tributos e Lucro"/>
    <tableColumn id="3" xr3:uid="{00000000-0010-0000-2200-000003000000}" name="Percentual"/>
    <tableColumn id="4" xr3:uid="{00000000-0010-0000-2200-000004000000}" name="Valor" totalsRowFunction="custom">
      <totalsRowFormula>SUM(D132:D134)</totalsRowFormula>
    </tableColumn>
  </tableColumns>
  <tableStyleInfo name="TableStyleMedium14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23000000}" name="ResumoPosto3090" displayName="ResumoPosto3090" ref="A142:D150">
  <autoFilter ref="A142:D150" xr:uid="{00000000-0009-0000-0100-000059000000}"/>
  <tableColumns count="4">
    <tableColumn id="1" xr3:uid="{00000000-0010-0000-2300-000001000000}" name="Item" totalsRowLabel="Total"/>
    <tableColumn id="2" xr3:uid="{00000000-0010-0000-2300-000002000000}" name="Mão de obra vinculada à execução contratual"/>
    <tableColumn id="3" xr3:uid="{00000000-0010-0000-2300-000003000000}" name="-"/>
    <tableColumn id="4" xr3:uid="{00000000-0010-0000-2300-000004000000}" name="Valor" totalsRowFunction="sum"/>
  </tableColumns>
  <tableStyleInfo name="TableStyleMedium14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24000000}" name="DadosGerais3191" displayName="DadosGerais3191" ref="F2:G6" totalsRowShown="0">
  <autoFilter ref="F2:G6" xr:uid="{00000000-0009-0000-0100-00005A000000}"/>
  <tableColumns count="2">
    <tableColumn id="1" xr3:uid="{00000000-0010-0000-2400-000001000000}" name="Descrição"/>
    <tableColumn id="2" xr3:uid="{00000000-0010-0000-2400-000002000000}" name="Valor"/>
  </tableColumns>
  <tableStyleInfo name="TableStyleMedium14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25000000}" name="DadosDesligamento3292" displayName="DadosDesligamento3292" ref="F9:G12" totalsRowShown="0">
  <autoFilter ref="F9:G12" xr:uid="{00000000-0009-0000-0100-00005B000000}"/>
  <tableColumns count="2">
    <tableColumn id="1" xr3:uid="{00000000-0010-0000-2500-000001000000}" name="Tipos"/>
    <tableColumn id="2" xr3:uid="{00000000-0010-0000-2500-000002000000}" name="Percentual"/>
  </tableColumns>
  <tableStyleInfo name="TableStyleMedium14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26000000}" name="CITL3393" displayName="CITL3393" ref="F15:G20" totalsRowShown="0">
  <autoFilter ref="F15:G20" xr:uid="{00000000-0009-0000-0100-00005C000000}"/>
  <tableColumns count="2">
    <tableColumn id="1" xr3:uid="{00000000-0010-0000-2600-000001000000}" name="Descrição"/>
    <tableColumn id="2" xr3:uid="{00000000-0010-0000-2600-000002000000}" name="Percentual"/>
  </tableColumns>
  <tableStyleInfo name="TableStyleMedium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03000000}" name="Submódulo2.26" displayName="Submódulo2.26" ref="A32:D41" totalsRowCount="1">
  <autoFilter ref="A32:D40" xr:uid="{00000000-0009-0000-0100-000036000000}"/>
  <tableColumns count="4">
    <tableColumn id="1" xr3:uid="{00000000-0010-0000-0300-000001000000}" name="2.2" totalsRowLabel="Total"/>
    <tableColumn id="2" xr3:uid="{00000000-0010-0000-0300-000002000000}" name="GPS, FGTS e outras contribuições"/>
    <tableColumn id="3" xr3:uid="{00000000-0010-0000-0300-000003000000}" name="Percentual" totalsRowFunction="sum"/>
    <tableColumn id="4" xr3:uid="{00000000-0010-0000-0300-000004000000}" name="Valor " totalsRowFunction="sum"/>
  </tableColumns>
  <tableStyleInfo name="TableStyleMedium14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27000000}" name="Table86894" displayName="Table86894" ref="A27:D29" totalsRowShown="0">
  <autoFilter ref="A27:D29" xr:uid="{00000000-0009-0000-0100-00005D000000}"/>
  <tableColumns count="4">
    <tableColumn id="1" xr3:uid="{00000000-0010-0000-2700-000001000000}" name="Item"/>
    <tableColumn id="2" xr3:uid="{00000000-0010-0000-2700-000002000000}" name="Rubrica"/>
    <tableColumn id="3" xr3:uid="{00000000-0010-0000-2700-000003000000}" name="Base de Cálculo"/>
    <tableColumn id="4" xr3:uid="{00000000-0010-0000-2700-000004000000}" name="Memória de Cálculo"/>
  </tableColumns>
  <tableStyleInfo name="TableStyleLight18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28000000}" name="Table8396995" displayName="Table8396995" ref="A44:D45" totalsRowShown="0">
  <autoFilter ref="A44:D45" xr:uid="{00000000-0009-0000-0100-00005E000000}"/>
  <tableColumns count="4">
    <tableColumn id="1" xr3:uid="{00000000-0010-0000-2800-000001000000}" name="Item"/>
    <tableColumn id="2" xr3:uid="{00000000-0010-0000-2800-000002000000}" name="Rubrica"/>
    <tableColumn id="3" xr3:uid="{00000000-0010-0000-2800-000003000000}" name="Base de Cálculo"/>
    <tableColumn id="4" xr3:uid="{00000000-0010-0000-2800-000004000000}" name="Memória de Cálculo"/>
  </tableColumns>
  <tableStyleInfo name="TableStyleLight18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29000000}" name="Table8427096" displayName="Table8427096" ref="A57:D59" totalsRowShown="0">
  <autoFilter ref="A57:D59" xr:uid="{00000000-0009-0000-0100-00005F000000}"/>
  <tableColumns count="4">
    <tableColumn id="1" xr3:uid="{00000000-0010-0000-2900-000001000000}" name="Item"/>
    <tableColumn id="2" xr3:uid="{00000000-0010-0000-2900-000002000000}" name="Rubrica"/>
    <tableColumn id="3" xr3:uid="{00000000-0010-0000-2900-000003000000}" name="Base de Cálculo"/>
    <tableColumn id="4" xr3:uid="{00000000-0010-0000-2900-000004000000}" name="Memória de Cálculo"/>
  </tableColumns>
  <tableStyleInfo name="TableStyleLight18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2A000000}" name="Table842377197" displayName="Table842377197" ref="A79:D85" totalsRowShown="0">
  <autoFilter ref="A79:D85" xr:uid="{00000000-0009-0000-0100-000060000000}"/>
  <tableColumns count="4">
    <tableColumn id="1" xr3:uid="{00000000-0010-0000-2A00-000001000000}" name="Item"/>
    <tableColumn id="2" xr3:uid="{00000000-0010-0000-2A00-000002000000}" name="Rubrica"/>
    <tableColumn id="3" xr3:uid="{00000000-0010-0000-2A00-000003000000}" name="Base de Cálculo"/>
    <tableColumn id="4" xr3:uid="{00000000-0010-0000-2A00-000004000000}" name="Memória de Cálculo"/>
  </tableColumns>
  <tableStyleInfo name="TableStyleLight18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2B000000}" name="Table842387298" displayName="Table842387298" ref="A99:D102" totalsRowShown="0">
  <autoFilter ref="A99:D102" xr:uid="{00000000-0009-0000-0100-000061000000}"/>
  <tableColumns count="4">
    <tableColumn id="1" xr3:uid="{00000000-0010-0000-2B00-000001000000}" name="Item"/>
    <tableColumn id="2" xr3:uid="{00000000-0010-0000-2B00-000002000000}" name="Rubrica"/>
    <tableColumn id="3" xr3:uid="{00000000-0010-0000-2B00-000003000000}" name="Base de Cálculo"/>
    <tableColumn id="4" xr3:uid="{00000000-0010-0000-2B00-000004000000}" name="Memória de Cálculo"/>
  </tableColumns>
  <tableStyleInfo name="TableStyleLight18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2C000000}" name="Table84238517399" displayName="Table84238517399" ref="A124:D128" totalsRowShown="0">
  <autoFilter ref="A124:D128" xr:uid="{00000000-0009-0000-0100-000062000000}"/>
  <tableColumns count="4">
    <tableColumn id="1" xr3:uid="{00000000-0010-0000-2C00-000001000000}" name="Item"/>
    <tableColumn id="2" xr3:uid="{00000000-0010-0000-2C00-000002000000}" name="Rubrica"/>
    <tableColumn id="3" xr3:uid="{00000000-0010-0000-2C00-000003000000}" name="Base de Cálculo"/>
    <tableColumn id="4" xr3:uid="{00000000-0010-0000-2C00-000004000000}" name="Memória de Cálculo"/>
  </tableColumns>
  <tableStyleInfo name="TableStyleLight18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2D000000}" name="Tabela6100" displayName="Tabela6100" ref="F23:G25" totalsRowShown="0">
  <autoFilter ref="F23:G25" xr:uid="{00000000-0009-0000-0100-000063000000}"/>
  <tableColumns count="2">
    <tableColumn id="1" xr3:uid="{00000000-0010-0000-2D00-000001000000}" name="Descrição"/>
    <tableColumn id="2" xr3:uid="{00000000-0010-0000-2D00-000002000000}" name="Valor"/>
  </tableColumns>
  <tableStyleInfo name="TableStyleMedium14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48000000}" name="Table46" displayName="Table46" ref="A2:F27" headerRowDxfId="8" dataDxfId="7" totalsRowDxfId="6">
  <tableColumns count="6">
    <tableColumn id="1" xr3:uid="{00000000-0010-0000-4800-000001000000}" name="ITEM" totalsRowLabel="46" dataDxfId="5"/>
    <tableColumn id="2" xr3:uid="{00000000-0010-0000-4800-000002000000}" name="DESCRIÇÃO" totalsRowLabel="Refil para saboneteira em ABS ALTO IMPACTO para Álcool Gel ou Sabonete Líquido em Sachê ou Refil 5-J7AI" dataDxfId="4"/>
    <tableColumn id="3" xr3:uid="{00000000-0010-0000-4800-000003000000}" name="UNIDADE" dataDxfId="3"/>
    <tableColumn id="4" xr3:uid="{00000000-0010-0000-4800-000004000000}" name="  VALOR UNITÁRIO (R$) " dataDxfId="2"/>
    <tableColumn id="5" xr3:uid="{00000000-0010-0000-4800-000005000000}" name="QUANTIDADE" dataDxfId="1"/>
    <tableColumn id="6" xr3:uid="{00000000-0010-0000-4800-000006000000}" name="VALOR TOTAL  (R$)" dataDxfId="0"/>
  </tableColumns>
  <tableStyleInfo name="TableStyleMedium1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04000000}" name="Submódulo2.38" displayName="Submódulo2.38" ref="A48:D54" totalsRowCount="1">
  <autoFilter ref="A48:D53" xr:uid="{00000000-0009-0000-0100-000037000000}"/>
  <tableColumns count="4">
    <tableColumn id="1" xr3:uid="{00000000-0010-0000-0400-000001000000}" name="2.3" totalsRowLabel="Total"/>
    <tableColumn id="2" xr3:uid="{00000000-0010-0000-0400-000002000000}" name="Benefícios Mensais e Diários"/>
    <tableColumn id="3" xr3:uid="{00000000-0010-0000-0400-000003000000}" name="Comentário"/>
    <tableColumn id="4" xr3:uid="{00000000-0010-0000-0400-000004000000}" name="Valor" totalsRowFunction="sum"/>
  </tableColumns>
  <tableStyleInfo name="TableStyleMedium1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05000000}" name="ResumoMódulo29" displayName="ResumoMódulo29" ref="A62:D66" totalsRowCount="1">
  <autoFilter ref="A62:D65" xr:uid="{00000000-0009-0000-0100-000038000000}"/>
  <tableColumns count="4">
    <tableColumn id="1" xr3:uid="{00000000-0010-0000-0500-000001000000}" name="2" totalsRowLabel="Total"/>
    <tableColumn id="2" xr3:uid="{00000000-0010-0000-0500-000002000000}" name="Encargos e Benefícios Anuais, Mensais e Diários"/>
    <tableColumn id="3" xr3:uid="{00000000-0010-0000-0500-000003000000}" name="Comentário"/>
    <tableColumn id="4" xr3:uid="{00000000-0010-0000-0500-000004000000}" name="Valor" totalsRowFunction="sum"/>
  </tableColumns>
  <tableStyleInfo name="TableStyleMedium1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06000000}" name="Módulo324" displayName="Módulo324" ref="A69:D76" totalsRowCount="1">
  <autoFilter ref="A69:D75" xr:uid="{00000000-0009-0000-0100-000039000000}"/>
  <tableColumns count="4">
    <tableColumn id="1" xr3:uid="{00000000-0010-0000-0600-000001000000}" name="3" totalsRowLabel="Total"/>
    <tableColumn id="2" xr3:uid="{00000000-0010-0000-0600-000002000000}" name="Provisão para Rescisão"/>
    <tableColumn id="3" xr3:uid="{00000000-0010-0000-0600-000003000000}" name="Comentário"/>
    <tableColumn id="4" xr3:uid="{00000000-0010-0000-0600-000004000000}" name="Valor" totalsRowFunction="sum"/>
  </tableColumns>
  <tableStyleInfo name="TableStyleMedium14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07000000}" name="Submódulo4.125" displayName="Submódulo4.125" ref="A89:D96" totalsRowCount="1">
  <autoFilter ref="A89:D95" xr:uid="{00000000-0009-0000-0100-00003A000000}"/>
  <tableColumns count="4">
    <tableColumn id="1" xr3:uid="{00000000-0010-0000-0700-000001000000}" name="4.1" totalsRowLabel="Total"/>
    <tableColumn id="2" xr3:uid="{00000000-0010-0000-0700-000002000000}" name="Substituto nas Ausências Legais"/>
    <tableColumn id="3" xr3:uid="{00000000-0010-0000-0700-000003000000}" name="Dias de ausência" totalsRowFunction="sum"/>
    <tableColumn id="4" xr3:uid="{00000000-0010-0000-0700-000004000000}" name="Valor" totalsRowFunction="sum"/>
  </tableColumns>
  <tableStyleInfo name="TableStyleMedium14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08000000}" name="Submódulo4.226" displayName="Submódulo4.226" ref="A105:D107" totalsRowCount="1">
  <autoFilter ref="A105:D106" xr:uid="{00000000-0009-0000-0100-00003B000000}"/>
  <tableColumns count="4">
    <tableColumn id="1" xr3:uid="{00000000-0010-0000-0800-000001000000}" name="4.2" totalsRowLabel="Total"/>
    <tableColumn id="2" xr3:uid="{00000000-0010-0000-0800-000002000000}" name="Substituto na Intrajornada "/>
    <tableColumn id="3" xr3:uid="{00000000-0010-0000-0800-000003000000}" name="Comentário"/>
    <tableColumn id="4" xr3:uid="{00000000-0010-0000-0800-000004000000}" name="Valor" totalsRowFunction="sum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comments" Target="../comments1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1" Type="http://schemas.openxmlformats.org/officeDocument/2006/relationships/vmlDrawing" Target="../drawings/vmlDrawing1.v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0.xml"/><Relationship Id="rId13" Type="http://schemas.openxmlformats.org/officeDocument/2006/relationships/table" Target="../tables/table35.xml"/><Relationship Id="rId18" Type="http://schemas.openxmlformats.org/officeDocument/2006/relationships/table" Target="../tables/table40.xml"/><Relationship Id="rId3" Type="http://schemas.openxmlformats.org/officeDocument/2006/relationships/table" Target="../tables/table25.xml"/><Relationship Id="rId21" Type="http://schemas.openxmlformats.org/officeDocument/2006/relationships/table" Target="../tables/table43.xml"/><Relationship Id="rId7" Type="http://schemas.openxmlformats.org/officeDocument/2006/relationships/table" Target="../tables/table29.xml"/><Relationship Id="rId12" Type="http://schemas.openxmlformats.org/officeDocument/2006/relationships/table" Target="../tables/table34.xml"/><Relationship Id="rId17" Type="http://schemas.openxmlformats.org/officeDocument/2006/relationships/table" Target="../tables/table39.xml"/><Relationship Id="rId25" Type="http://schemas.openxmlformats.org/officeDocument/2006/relationships/comments" Target="../comments2.xml"/><Relationship Id="rId2" Type="http://schemas.openxmlformats.org/officeDocument/2006/relationships/table" Target="../tables/table24.xml"/><Relationship Id="rId16" Type="http://schemas.openxmlformats.org/officeDocument/2006/relationships/table" Target="../tables/table38.xml"/><Relationship Id="rId20" Type="http://schemas.openxmlformats.org/officeDocument/2006/relationships/table" Target="../tables/table42.xml"/><Relationship Id="rId1" Type="http://schemas.openxmlformats.org/officeDocument/2006/relationships/vmlDrawing" Target="../drawings/vmlDrawing2.vml"/><Relationship Id="rId6" Type="http://schemas.openxmlformats.org/officeDocument/2006/relationships/table" Target="../tables/table28.xml"/><Relationship Id="rId11" Type="http://schemas.openxmlformats.org/officeDocument/2006/relationships/table" Target="../tables/table33.xml"/><Relationship Id="rId24" Type="http://schemas.openxmlformats.org/officeDocument/2006/relationships/table" Target="../tables/table46.xml"/><Relationship Id="rId5" Type="http://schemas.openxmlformats.org/officeDocument/2006/relationships/table" Target="../tables/table27.xml"/><Relationship Id="rId15" Type="http://schemas.openxmlformats.org/officeDocument/2006/relationships/table" Target="../tables/table37.xml"/><Relationship Id="rId23" Type="http://schemas.openxmlformats.org/officeDocument/2006/relationships/table" Target="../tables/table45.xml"/><Relationship Id="rId10" Type="http://schemas.openxmlformats.org/officeDocument/2006/relationships/table" Target="../tables/table32.xml"/><Relationship Id="rId19" Type="http://schemas.openxmlformats.org/officeDocument/2006/relationships/table" Target="../tables/table41.xml"/><Relationship Id="rId4" Type="http://schemas.openxmlformats.org/officeDocument/2006/relationships/table" Target="../tables/table26.xml"/><Relationship Id="rId9" Type="http://schemas.openxmlformats.org/officeDocument/2006/relationships/table" Target="../tables/table31.xml"/><Relationship Id="rId14" Type="http://schemas.openxmlformats.org/officeDocument/2006/relationships/table" Target="../tables/table36.xml"/><Relationship Id="rId22" Type="http://schemas.openxmlformats.org/officeDocument/2006/relationships/table" Target="../tables/table4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7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50"/>
  <sheetViews>
    <sheetView showGridLines="0" topLeftCell="A125" zoomScale="85" zoomScaleSheetLayoutView="100" workbookViewId="0">
      <selection activeCell="D150" sqref="D150"/>
    </sheetView>
  </sheetViews>
  <sheetFormatPr defaultColWidth="9" defaultRowHeight="15" outlineLevelRow="1" x14ac:dyDescent="0.25"/>
  <cols>
    <col min="1" max="1" width="12.42578125" customWidth="1"/>
    <col min="2" max="2" width="76.42578125" customWidth="1"/>
    <col min="3" max="3" width="28.42578125" customWidth="1"/>
    <col min="4" max="4" width="27.42578125" customWidth="1"/>
    <col min="6" max="6" width="32.7109375" customWidth="1"/>
    <col min="7" max="7" width="13" customWidth="1"/>
  </cols>
  <sheetData>
    <row r="1" spans="1:21" x14ac:dyDescent="0.25">
      <c r="A1" s="199" t="s">
        <v>0</v>
      </c>
      <c r="B1" s="199"/>
      <c r="C1" s="199"/>
      <c r="D1" s="199"/>
      <c r="F1" s="198" t="s">
        <v>1</v>
      </c>
      <c r="G1" s="198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 x14ac:dyDescent="0.25">
      <c r="A2" s="2" t="s">
        <v>2</v>
      </c>
      <c r="B2" t="s">
        <v>3</v>
      </c>
      <c r="C2" s="2" t="s">
        <v>4</v>
      </c>
      <c r="D2" s="2" t="s">
        <v>5</v>
      </c>
      <c r="F2" t="s">
        <v>3</v>
      </c>
      <c r="G2" t="s">
        <v>5</v>
      </c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spans="1:21" x14ac:dyDescent="0.25">
      <c r="A3" s="2">
        <v>1</v>
      </c>
      <c r="B3" t="s">
        <v>6</v>
      </c>
      <c r="C3" s="2"/>
      <c r="D3" s="2" t="s">
        <v>7</v>
      </c>
      <c r="F3" t="s">
        <v>8</v>
      </c>
      <c r="G3" s="30">
        <v>3.8</v>
      </c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x14ac:dyDescent="0.25">
      <c r="A4" s="2">
        <v>2</v>
      </c>
      <c r="B4" t="s">
        <v>9</v>
      </c>
      <c r="C4" s="2"/>
      <c r="D4" s="2" t="s">
        <v>10</v>
      </c>
      <c r="F4" t="s">
        <v>11</v>
      </c>
      <c r="G4" s="30">
        <v>14</v>
      </c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1:21" x14ac:dyDescent="0.25">
      <c r="A5" s="2">
        <v>3</v>
      </c>
      <c r="B5" t="s">
        <v>12</v>
      </c>
      <c r="C5" s="2" t="s">
        <v>13</v>
      </c>
      <c r="D5" s="31">
        <v>1002.88</v>
      </c>
      <c r="F5" t="s">
        <v>14</v>
      </c>
      <c r="G5" s="32">
        <v>22</v>
      </c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21" x14ac:dyDescent="0.25">
      <c r="A6" s="2">
        <v>4</v>
      </c>
      <c r="B6" t="s">
        <v>15</v>
      </c>
      <c r="C6" s="2" t="s">
        <v>16</v>
      </c>
      <c r="D6" s="2" t="s">
        <v>17</v>
      </c>
      <c r="F6" t="s">
        <v>18</v>
      </c>
      <c r="G6" s="33">
        <v>0.03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21" x14ac:dyDescent="0.25">
      <c r="A7" s="2">
        <v>5</v>
      </c>
      <c r="B7" t="s">
        <v>19</v>
      </c>
      <c r="C7" s="2"/>
      <c r="D7" s="2" t="s">
        <v>20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</row>
    <row r="8" spans="1:21" x14ac:dyDescent="0.25">
      <c r="F8" s="198" t="s">
        <v>21</v>
      </c>
      <c r="G8" s="198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</row>
    <row r="9" spans="1:21" x14ac:dyDescent="0.25">
      <c r="A9" s="197" t="s">
        <v>22</v>
      </c>
      <c r="B9" s="197"/>
      <c r="C9" s="197"/>
      <c r="D9" s="197"/>
      <c r="F9" t="s">
        <v>23</v>
      </c>
      <c r="G9" t="s">
        <v>24</v>
      </c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</row>
    <row r="10" spans="1:21" x14ac:dyDescent="0.25">
      <c r="A10" s="2" t="s">
        <v>25</v>
      </c>
      <c r="B10" t="s">
        <v>26</v>
      </c>
      <c r="C10" s="2" t="s">
        <v>4</v>
      </c>
      <c r="D10" s="2" t="s">
        <v>5</v>
      </c>
      <c r="F10" t="s">
        <v>27</v>
      </c>
      <c r="G10" s="34">
        <v>0.43369999999999997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</row>
    <row r="11" spans="1:21" x14ac:dyDescent="0.25">
      <c r="A11" s="2" t="s">
        <v>28</v>
      </c>
      <c r="B11" t="s">
        <v>29</v>
      </c>
      <c r="C11" s="2"/>
      <c r="D11" s="35">
        <f>Salário_Normativo_da_Categoria_Profissional</f>
        <v>1002.88</v>
      </c>
      <c r="F11" t="s">
        <v>30</v>
      </c>
      <c r="G11" s="34">
        <v>0.43369999999999997</v>
      </c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</row>
    <row r="12" spans="1:21" x14ac:dyDescent="0.25">
      <c r="A12" s="2" t="s">
        <v>31</v>
      </c>
      <c r="B12" t="s">
        <v>32</v>
      </c>
      <c r="C12" s="2"/>
      <c r="D12" s="35"/>
      <c r="F12" t="s">
        <v>33</v>
      </c>
      <c r="G12" s="34">
        <v>2.18E-2</v>
      </c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</row>
    <row r="13" spans="1:21" x14ac:dyDescent="0.25">
      <c r="A13" s="2" t="s">
        <v>34</v>
      </c>
      <c r="B13" t="s">
        <v>35</v>
      </c>
      <c r="C13" s="2"/>
      <c r="D13" s="35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</row>
    <row r="14" spans="1:21" x14ac:dyDescent="0.25">
      <c r="A14" s="2" t="s">
        <v>36</v>
      </c>
      <c r="B14" t="s">
        <v>37</v>
      </c>
      <c r="C14" s="2"/>
      <c r="D14" s="35"/>
      <c r="F14" s="198" t="s">
        <v>38</v>
      </c>
      <c r="G14" s="198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</row>
    <row r="15" spans="1:21" x14ac:dyDescent="0.25">
      <c r="A15" s="2" t="s">
        <v>39</v>
      </c>
      <c r="B15" t="s">
        <v>40</v>
      </c>
      <c r="C15" s="2"/>
      <c r="D15" s="35"/>
      <c r="F15" s="29" t="s">
        <v>3</v>
      </c>
      <c r="G15" s="29" t="s">
        <v>24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</row>
    <row r="16" spans="1:21" x14ac:dyDescent="0.25">
      <c r="A16" s="2" t="s">
        <v>41</v>
      </c>
      <c r="B16" t="s">
        <v>42</v>
      </c>
      <c r="C16" s="2"/>
      <c r="D16" s="35"/>
      <c r="F16" s="29" t="s">
        <v>43</v>
      </c>
      <c r="G16" s="36">
        <v>0.03</v>
      </c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</row>
    <row r="17" spans="1:21" x14ac:dyDescent="0.25">
      <c r="A17" s="2" t="s">
        <v>44</v>
      </c>
      <c r="C17" s="2"/>
      <c r="D17" s="35">
        <f>SUBTOTAL(109,D11:D16)</f>
        <v>1002.88</v>
      </c>
      <c r="F17" s="29" t="s">
        <v>45</v>
      </c>
      <c r="G17" s="36">
        <v>6.7900000000000002E-2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</row>
    <row r="18" spans="1:21" x14ac:dyDescent="0.25">
      <c r="F18" s="29" t="s">
        <v>46</v>
      </c>
      <c r="G18" s="37">
        <v>1.6500000000000001E-2</v>
      </c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</row>
    <row r="19" spans="1:21" x14ac:dyDescent="0.25">
      <c r="A19" s="195" t="s">
        <v>47</v>
      </c>
      <c r="B19" s="195"/>
      <c r="C19" s="195"/>
      <c r="D19" s="195"/>
      <c r="F19" s="29" t="s">
        <v>48</v>
      </c>
      <c r="G19" s="37">
        <v>7.5999999999999998E-2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</row>
    <row r="20" spans="1:21" x14ac:dyDescent="0.25">
      <c r="A20" s="198" t="s">
        <v>49</v>
      </c>
      <c r="B20" s="198"/>
      <c r="C20" s="198"/>
      <c r="D20" s="198"/>
      <c r="F20" s="29" t="s">
        <v>50</v>
      </c>
      <c r="G20" s="37">
        <v>0.05</v>
      </c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</row>
    <row r="21" spans="1:21" x14ac:dyDescent="0.25">
      <c r="A21" s="2" t="s">
        <v>51</v>
      </c>
      <c r="B21" t="s">
        <v>52</v>
      </c>
      <c r="C21" s="2" t="s">
        <v>4</v>
      </c>
      <c r="D21" s="2" t="s">
        <v>5</v>
      </c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</row>
    <row r="22" spans="1:21" x14ac:dyDescent="0.25">
      <c r="A22" s="2" t="s">
        <v>28</v>
      </c>
      <c r="B22" t="s">
        <v>53</v>
      </c>
      <c r="D22" s="35">
        <f>Servente!$D$17/12</f>
        <v>83.573333333333338</v>
      </c>
      <c r="F22" s="198" t="s">
        <v>54</v>
      </c>
      <c r="G22" s="198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</row>
    <row r="23" spans="1:21" x14ac:dyDescent="0.25">
      <c r="A23" s="2" t="s">
        <v>31</v>
      </c>
      <c r="B23" t="s">
        <v>55</v>
      </c>
      <c r="D23" s="35">
        <f>(Servente!$D$17/12)*(1/3)</f>
        <v>27.857777777777777</v>
      </c>
      <c r="E23" s="4"/>
      <c r="F23" s="2" t="s">
        <v>3</v>
      </c>
      <c r="G23" s="2" t="s">
        <v>5</v>
      </c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</row>
    <row r="24" spans="1:21" x14ac:dyDescent="0.25">
      <c r="A24" s="2" t="s">
        <v>44</v>
      </c>
      <c r="D24" s="35">
        <f>SUBTOTAL(109,D22:D23)</f>
        <v>111.43111111111111</v>
      </c>
      <c r="F24" s="29" t="s">
        <v>56</v>
      </c>
      <c r="G24" s="38">
        <f>((D17+D24+(D17/12))*(100%+C41))/30</f>
        <v>54.62353066666666</v>
      </c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</row>
    <row r="25" spans="1:21" x14ac:dyDescent="0.25">
      <c r="A25" s="2"/>
      <c r="D25" s="35"/>
      <c r="F25" s="29" t="s">
        <v>57</v>
      </c>
      <c r="G25" s="38">
        <f>((D17*(1+(1/3))*(100%+C41))/12)/30</f>
        <v>5.0812586666666659</v>
      </c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</row>
    <row r="26" spans="1:21" x14ac:dyDescent="0.25">
      <c r="A26" s="193" t="s">
        <v>58</v>
      </c>
      <c r="B26" s="193"/>
      <c r="C26" s="193"/>
      <c r="D26" s="193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</row>
    <row r="27" spans="1:21" x14ac:dyDescent="0.25">
      <c r="A27" s="39" t="s">
        <v>2</v>
      </c>
      <c r="B27" s="39" t="s">
        <v>59</v>
      </c>
      <c r="C27" s="39" t="s">
        <v>60</v>
      </c>
      <c r="D27" s="40" t="s">
        <v>61</v>
      </c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</row>
    <row r="28" spans="1:21" ht="30" x14ac:dyDescent="0.25">
      <c r="A28" s="3" t="s">
        <v>28</v>
      </c>
      <c r="B28" s="41" t="s">
        <v>62</v>
      </c>
      <c r="C28" s="1" t="s">
        <v>63</v>
      </c>
      <c r="D28" s="41" t="s">
        <v>64</v>
      </c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</row>
    <row r="29" spans="1:21" x14ac:dyDescent="0.25">
      <c r="A29" s="3" t="s">
        <v>31</v>
      </c>
      <c r="B29" s="42" t="s">
        <v>55</v>
      </c>
      <c r="C29" s="1" t="s">
        <v>63</v>
      </c>
      <c r="D29" s="41" t="s">
        <v>65</v>
      </c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</row>
    <row r="30" spans="1:21" x14ac:dyDescent="0.25">
      <c r="A30" s="2"/>
      <c r="B30" s="2"/>
      <c r="C30" s="43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</row>
    <row r="31" spans="1:21" x14ac:dyDescent="0.25">
      <c r="A31" s="198" t="s">
        <v>66</v>
      </c>
      <c r="B31" s="198"/>
      <c r="C31" s="198"/>
      <c r="D31" s="198"/>
    </row>
    <row r="32" spans="1:21" x14ac:dyDescent="0.25">
      <c r="A32" s="2" t="s">
        <v>67</v>
      </c>
      <c r="B32" t="s">
        <v>68</v>
      </c>
      <c r="C32" s="2" t="s">
        <v>24</v>
      </c>
      <c r="D32" s="2" t="s">
        <v>69</v>
      </c>
    </row>
    <row r="33" spans="1:4" x14ac:dyDescent="0.25">
      <c r="A33" s="2" t="s">
        <v>28</v>
      </c>
      <c r="B33" t="s">
        <v>70</v>
      </c>
      <c r="C33" s="44">
        <v>0.2</v>
      </c>
      <c r="D33" s="35">
        <f>C33*(Servente!$D$17+Servente!$D$24)</f>
        <v>222.86222222222224</v>
      </c>
    </row>
    <row r="34" spans="1:4" x14ac:dyDescent="0.25">
      <c r="A34" s="2" t="s">
        <v>31</v>
      </c>
      <c r="B34" t="s">
        <v>71</v>
      </c>
      <c r="C34" s="44">
        <v>2.5000000000000001E-2</v>
      </c>
      <c r="D34" s="35">
        <f>C34*(Servente!$D$17+Servente!$D$24)</f>
        <v>27.85777777777778</v>
      </c>
    </row>
    <row r="35" spans="1:4" x14ac:dyDescent="0.25">
      <c r="A35" s="2" t="s">
        <v>34</v>
      </c>
      <c r="B35" t="s">
        <v>72</v>
      </c>
      <c r="C35" s="44">
        <f>Servente!G6</f>
        <v>0.03</v>
      </c>
      <c r="D35" s="35">
        <f>C35*(Servente!$D$17+Servente!$D$24)</f>
        <v>33.429333333333332</v>
      </c>
    </row>
    <row r="36" spans="1:4" x14ac:dyDescent="0.25">
      <c r="A36" s="2" t="s">
        <v>36</v>
      </c>
      <c r="B36" t="s">
        <v>73</v>
      </c>
      <c r="C36" s="44">
        <v>1.4999999999999999E-2</v>
      </c>
      <c r="D36" s="35">
        <f>C36*(Servente!$D$17+Servente!$D$24)</f>
        <v>16.714666666666666</v>
      </c>
    </row>
    <row r="37" spans="1:4" x14ac:dyDescent="0.25">
      <c r="A37" s="2" t="s">
        <v>39</v>
      </c>
      <c r="B37" t="s">
        <v>74</v>
      </c>
      <c r="C37" s="44">
        <v>0.01</v>
      </c>
      <c r="D37" s="35">
        <f>C37*(Servente!$D$17+Servente!$D$24)</f>
        <v>11.143111111111111</v>
      </c>
    </row>
    <row r="38" spans="1:4" x14ac:dyDescent="0.25">
      <c r="A38" s="2" t="s">
        <v>41</v>
      </c>
      <c r="B38" t="s">
        <v>75</v>
      </c>
      <c r="C38" s="44">
        <v>6.0000000000000001E-3</v>
      </c>
      <c r="D38" s="35">
        <f>C38*(Servente!$D$17+Servente!$D$24)</f>
        <v>6.6858666666666666</v>
      </c>
    </row>
    <row r="39" spans="1:4" x14ac:dyDescent="0.25">
      <c r="A39" s="2" t="s">
        <v>76</v>
      </c>
      <c r="B39" t="s">
        <v>77</v>
      </c>
      <c r="C39" s="44">
        <v>2E-3</v>
      </c>
      <c r="D39" s="35">
        <f>C39*(Servente!$D$17+Servente!$D$24)</f>
        <v>2.2286222222222225</v>
      </c>
    </row>
    <row r="40" spans="1:4" x14ac:dyDescent="0.25">
      <c r="A40" s="2" t="s">
        <v>78</v>
      </c>
      <c r="B40" t="s">
        <v>79</v>
      </c>
      <c r="C40" s="44">
        <v>0.08</v>
      </c>
      <c r="D40" s="35">
        <f>C40*(Servente!$D$17+Servente!$D$24)</f>
        <v>89.144888888888886</v>
      </c>
    </row>
    <row r="41" spans="1:4" x14ac:dyDescent="0.25">
      <c r="A41" s="2" t="s">
        <v>44</v>
      </c>
      <c r="C41" s="45">
        <v>0.36799999999999999</v>
      </c>
      <c r="D41" s="35">
        <f>SUBTOTAL(109,D33:D40)</f>
        <v>410.0664888888889</v>
      </c>
    </row>
    <row r="42" spans="1:4" x14ac:dyDescent="0.25">
      <c r="A42" s="2"/>
      <c r="C42" s="45"/>
      <c r="D42" s="35"/>
    </row>
    <row r="43" spans="1:4" x14ac:dyDescent="0.25">
      <c r="A43" s="193" t="s">
        <v>80</v>
      </c>
      <c r="B43" s="193"/>
      <c r="C43" s="193"/>
      <c r="D43" s="193"/>
    </row>
    <row r="44" spans="1:4" x14ac:dyDescent="0.25">
      <c r="A44" s="39" t="s">
        <v>2</v>
      </c>
      <c r="B44" s="39" t="s">
        <v>59</v>
      </c>
      <c r="C44" s="39" t="s">
        <v>60</v>
      </c>
      <c r="D44" s="40" t="s">
        <v>61</v>
      </c>
    </row>
    <row r="45" spans="1:4" ht="30" x14ac:dyDescent="0.25">
      <c r="A45" s="3" t="s">
        <v>81</v>
      </c>
      <c r="B45" s="41" t="s">
        <v>68</v>
      </c>
      <c r="C45" s="41" t="s">
        <v>82</v>
      </c>
      <c r="D45" s="41" t="s">
        <v>83</v>
      </c>
    </row>
    <row r="47" spans="1:4" x14ac:dyDescent="0.25">
      <c r="A47" s="198" t="s">
        <v>84</v>
      </c>
      <c r="B47" s="198"/>
      <c r="C47" s="198"/>
      <c r="D47" s="198"/>
    </row>
    <row r="48" spans="1:4" x14ac:dyDescent="0.25">
      <c r="A48" s="2" t="s">
        <v>85</v>
      </c>
      <c r="B48" t="s">
        <v>86</v>
      </c>
      <c r="C48" s="2" t="s">
        <v>4</v>
      </c>
      <c r="D48" s="2" t="s">
        <v>5</v>
      </c>
    </row>
    <row r="49" spans="1:4" x14ac:dyDescent="0.25">
      <c r="A49" s="2" t="s">
        <v>28</v>
      </c>
      <c r="B49" t="s">
        <v>87</v>
      </c>
      <c r="D49" s="35">
        <v>107.02719999999999</v>
      </c>
    </row>
    <row r="50" spans="1:4" x14ac:dyDescent="0.25">
      <c r="A50" s="2" t="s">
        <v>31</v>
      </c>
      <c r="B50" t="s">
        <v>88</v>
      </c>
      <c r="D50" s="35">
        <f>(Servente!G4*Servente!G5)*80%</f>
        <v>246.4</v>
      </c>
    </row>
    <row r="51" spans="1:4" x14ac:dyDescent="0.25">
      <c r="A51" s="2" t="s">
        <v>34</v>
      </c>
      <c r="B51" t="s">
        <v>89</v>
      </c>
      <c r="D51" s="35"/>
    </row>
    <row r="52" spans="1:4" x14ac:dyDescent="0.25">
      <c r="A52" s="2" t="s">
        <v>36</v>
      </c>
      <c r="B52" t="s">
        <v>90</v>
      </c>
      <c r="C52" t="s">
        <v>91</v>
      </c>
      <c r="D52" s="35">
        <v>4</v>
      </c>
    </row>
    <row r="53" spans="1:4" x14ac:dyDescent="0.25">
      <c r="A53" s="2" t="s">
        <v>39</v>
      </c>
      <c r="B53" t="s">
        <v>92</v>
      </c>
      <c r="C53" t="s">
        <v>93</v>
      </c>
      <c r="D53" s="35">
        <v>15</v>
      </c>
    </row>
    <row r="54" spans="1:4" x14ac:dyDescent="0.25">
      <c r="A54" s="2" t="s">
        <v>44</v>
      </c>
      <c r="D54" s="35">
        <v>372.42720000000003</v>
      </c>
    </row>
    <row r="55" spans="1:4" x14ac:dyDescent="0.25">
      <c r="A55" s="2"/>
      <c r="D55" s="35"/>
    </row>
    <row r="56" spans="1:4" x14ac:dyDescent="0.25">
      <c r="A56" s="193" t="s">
        <v>94</v>
      </c>
      <c r="B56" s="193"/>
      <c r="C56" s="193"/>
      <c r="D56" s="193"/>
    </row>
    <row r="57" spans="1:4" x14ac:dyDescent="0.25">
      <c r="A57" s="39" t="s">
        <v>2</v>
      </c>
      <c r="B57" s="39" t="s">
        <v>59</v>
      </c>
      <c r="C57" s="39" t="s">
        <v>60</v>
      </c>
      <c r="D57" s="39" t="s">
        <v>61</v>
      </c>
    </row>
    <row r="58" spans="1:4" ht="45" x14ac:dyDescent="0.25">
      <c r="A58" s="3" t="s">
        <v>28</v>
      </c>
      <c r="B58" s="41" t="s">
        <v>87</v>
      </c>
      <c r="C58" s="1" t="s">
        <v>95</v>
      </c>
      <c r="D58" s="1" t="s">
        <v>96</v>
      </c>
    </row>
    <row r="59" spans="1:4" ht="30" x14ac:dyDescent="0.25">
      <c r="A59" s="3" t="s">
        <v>31</v>
      </c>
      <c r="B59" s="42" t="s">
        <v>88</v>
      </c>
      <c r="C59" s="1" t="s">
        <v>95</v>
      </c>
      <c r="D59" s="1" t="s">
        <v>97</v>
      </c>
    </row>
    <row r="60" spans="1:4" ht="19.5" customHeight="1" x14ac:dyDescent="0.25">
      <c r="A60" s="2"/>
      <c r="D60" s="35"/>
    </row>
    <row r="61" spans="1:4" x14ac:dyDescent="0.25">
      <c r="A61" s="198" t="s">
        <v>98</v>
      </c>
      <c r="B61" s="198"/>
      <c r="C61" s="198"/>
      <c r="D61" s="198"/>
    </row>
    <row r="62" spans="1:4" x14ac:dyDescent="0.25">
      <c r="A62" s="2" t="s">
        <v>99</v>
      </c>
      <c r="B62" t="s">
        <v>100</v>
      </c>
      <c r="C62" s="2" t="s">
        <v>4</v>
      </c>
      <c r="D62" s="2" t="s">
        <v>5</v>
      </c>
    </row>
    <row r="63" spans="1:4" x14ac:dyDescent="0.25">
      <c r="A63" s="2" t="s">
        <v>51</v>
      </c>
      <c r="B63" t="s">
        <v>52</v>
      </c>
      <c r="C63" s="2"/>
      <c r="D63" s="35">
        <f>Servente!$D$24</f>
        <v>111.43111111111111</v>
      </c>
    </row>
    <row r="64" spans="1:4" x14ac:dyDescent="0.25">
      <c r="A64" s="2" t="s">
        <v>67</v>
      </c>
      <c r="B64" t="s">
        <v>68</v>
      </c>
      <c r="C64" s="2"/>
      <c r="D64" s="35">
        <f>Servente!$D$41</f>
        <v>410.0664888888889</v>
      </c>
    </row>
    <row r="65" spans="1:4" x14ac:dyDescent="0.25">
      <c r="A65" s="2" t="s">
        <v>85</v>
      </c>
      <c r="B65" t="s">
        <v>86</v>
      </c>
      <c r="C65" s="2"/>
      <c r="D65" s="35">
        <f>Servente!$D$54</f>
        <v>372.42720000000003</v>
      </c>
    </row>
    <row r="66" spans="1:4" x14ac:dyDescent="0.25">
      <c r="A66" s="2" t="s">
        <v>44</v>
      </c>
      <c r="C66" s="2"/>
      <c r="D66" s="35">
        <f>SUBTOTAL(109,D63:D65)</f>
        <v>893.9248</v>
      </c>
    </row>
    <row r="68" spans="1:4" x14ac:dyDescent="0.25">
      <c r="A68" s="197" t="s">
        <v>101</v>
      </c>
      <c r="B68" s="197"/>
      <c r="C68" s="197"/>
      <c r="D68" s="197"/>
    </row>
    <row r="69" spans="1:4" x14ac:dyDescent="0.25">
      <c r="A69" s="2" t="s">
        <v>102</v>
      </c>
      <c r="B69" t="s">
        <v>103</v>
      </c>
      <c r="C69" s="2" t="s">
        <v>4</v>
      </c>
      <c r="D69" s="2" t="s">
        <v>5</v>
      </c>
    </row>
    <row r="70" spans="1:4" x14ac:dyDescent="0.25">
      <c r="A70" s="2" t="s">
        <v>28</v>
      </c>
      <c r="B70" t="s">
        <v>104</v>
      </c>
      <c r="D70" s="35">
        <f>((Servente!$D$17+D63+D65)/12)*G10</f>
        <v>53.73320046074074</v>
      </c>
    </row>
    <row r="71" spans="1:4" x14ac:dyDescent="0.25">
      <c r="A71" s="2" t="s">
        <v>31</v>
      </c>
      <c r="B71" t="s">
        <v>105</v>
      </c>
      <c r="D71" s="35">
        <f>(D40/12)*Servente!G10</f>
        <v>3.2218448592592588</v>
      </c>
    </row>
    <row r="72" spans="1:4" x14ac:dyDescent="0.25">
      <c r="A72" s="2" t="s">
        <v>34</v>
      </c>
      <c r="B72" t="s">
        <v>106</v>
      </c>
      <c r="D72" s="35">
        <f>D40*50%*Servente!G10</f>
        <v>19.331069155555554</v>
      </c>
    </row>
    <row r="73" spans="1:4" x14ac:dyDescent="0.25">
      <c r="A73" s="2" t="s">
        <v>36</v>
      </c>
      <c r="B73" t="s">
        <v>107</v>
      </c>
      <c r="D73" s="35">
        <f>((Servente!$D$17+Servente!$D$66)/12)*G11</f>
        <v>68.553686813333314</v>
      </c>
    </row>
    <row r="74" spans="1:4" x14ac:dyDescent="0.25">
      <c r="A74" s="2" t="s">
        <v>39</v>
      </c>
      <c r="B74" t="s">
        <v>108</v>
      </c>
      <c r="D74" s="35">
        <f>D40*50%*Servente!G11</f>
        <v>19.331069155555554</v>
      </c>
    </row>
    <row r="75" spans="1:4" x14ac:dyDescent="0.25">
      <c r="A75" s="2" t="s">
        <v>41</v>
      </c>
      <c r="B75" t="s">
        <v>109</v>
      </c>
      <c r="D75" s="35">
        <f>-D63*Servente!G12</f>
        <v>-2.4291982222222219</v>
      </c>
    </row>
    <row r="76" spans="1:4" x14ac:dyDescent="0.25">
      <c r="A76" s="2" t="s">
        <v>44</v>
      </c>
      <c r="D76" s="35">
        <f>SUBTOTAL(109,D70:D75)</f>
        <v>161.74167222222218</v>
      </c>
    </row>
    <row r="77" spans="1:4" x14ac:dyDescent="0.25">
      <c r="A77" s="2"/>
      <c r="D77" s="35"/>
    </row>
    <row r="78" spans="1:4" x14ac:dyDescent="0.25">
      <c r="A78" s="193" t="s">
        <v>110</v>
      </c>
      <c r="B78" s="193"/>
      <c r="C78" s="193"/>
      <c r="D78" s="193"/>
    </row>
    <row r="79" spans="1:4" x14ac:dyDescent="0.25">
      <c r="A79" s="39" t="s">
        <v>2</v>
      </c>
      <c r="B79" s="39" t="s">
        <v>59</v>
      </c>
      <c r="C79" s="39" t="s">
        <v>60</v>
      </c>
      <c r="D79" s="39" t="s">
        <v>61</v>
      </c>
    </row>
    <row r="80" spans="1:4" ht="60" x14ac:dyDescent="0.25">
      <c r="A80" s="3" t="s">
        <v>28</v>
      </c>
      <c r="B80" s="41" t="s">
        <v>104</v>
      </c>
      <c r="C80" s="1" t="s">
        <v>111</v>
      </c>
      <c r="D80" s="1" t="s">
        <v>112</v>
      </c>
    </row>
    <row r="81" spans="1:5" ht="60" x14ac:dyDescent="0.25">
      <c r="A81" s="3" t="s">
        <v>31</v>
      </c>
      <c r="B81" s="42" t="s">
        <v>105</v>
      </c>
      <c r="C81" s="1" t="s">
        <v>113</v>
      </c>
      <c r="D81" s="1" t="s">
        <v>112</v>
      </c>
    </row>
    <row r="82" spans="1:5" ht="75" x14ac:dyDescent="0.25">
      <c r="A82" s="3" t="s">
        <v>34</v>
      </c>
      <c r="B82" s="42" t="s">
        <v>106</v>
      </c>
      <c r="C82" s="1" t="s">
        <v>113</v>
      </c>
      <c r="D82" s="46" t="s">
        <v>114</v>
      </c>
    </row>
    <row r="83" spans="1:5" ht="60" x14ac:dyDescent="0.25">
      <c r="A83" s="3" t="s">
        <v>36</v>
      </c>
      <c r="B83" s="47" t="s">
        <v>107</v>
      </c>
      <c r="C83" s="1" t="s">
        <v>115</v>
      </c>
      <c r="D83" s="46" t="s">
        <v>116</v>
      </c>
    </row>
    <row r="84" spans="1:5" ht="75" x14ac:dyDescent="0.25">
      <c r="A84" s="3" t="s">
        <v>39</v>
      </c>
      <c r="B84" s="47" t="s">
        <v>108</v>
      </c>
      <c r="C84" s="1" t="s">
        <v>113</v>
      </c>
      <c r="D84" s="46" t="s">
        <v>117</v>
      </c>
    </row>
    <row r="85" spans="1:5" ht="60" x14ac:dyDescent="0.25">
      <c r="A85" s="3" t="s">
        <v>41</v>
      </c>
      <c r="B85" s="47" t="s">
        <v>109</v>
      </c>
      <c r="C85" s="1" t="s">
        <v>118</v>
      </c>
      <c r="D85" s="46" t="s">
        <v>119</v>
      </c>
    </row>
    <row r="87" spans="1:5" x14ac:dyDescent="0.25">
      <c r="A87" s="194" t="s">
        <v>120</v>
      </c>
      <c r="B87" s="195"/>
      <c r="C87" s="195"/>
      <c r="D87" s="195"/>
    </row>
    <row r="88" spans="1:5" x14ac:dyDescent="0.25">
      <c r="A88" s="196" t="s">
        <v>121</v>
      </c>
      <c r="B88" s="196"/>
      <c r="C88" s="196"/>
      <c r="D88" s="196"/>
    </row>
    <row r="89" spans="1:5" x14ac:dyDescent="0.25">
      <c r="A89" s="2" t="s">
        <v>122</v>
      </c>
      <c r="B89" t="s">
        <v>123</v>
      </c>
      <c r="C89" s="2" t="s">
        <v>124</v>
      </c>
      <c r="D89" s="2" t="s">
        <v>5</v>
      </c>
    </row>
    <row r="90" spans="1:5" x14ac:dyDescent="0.25">
      <c r="A90" s="2" t="s">
        <v>28</v>
      </c>
      <c r="B90" t="s">
        <v>125</v>
      </c>
      <c r="C90" s="2">
        <v>30</v>
      </c>
      <c r="D90" s="35">
        <f t="shared" ref="D90:D95" si="0">(C90*G$24)/12</f>
        <v>136.55882666666665</v>
      </c>
      <c r="E90" s="4"/>
    </row>
    <row r="91" spans="1:5" x14ac:dyDescent="0.25">
      <c r="A91" s="2" t="s">
        <v>31</v>
      </c>
      <c r="B91" t="s">
        <v>126</v>
      </c>
      <c r="C91" s="2">
        <v>1.4180999999999999</v>
      </c>
      <c r="D91" s="35">
        <f t="shared" si="0"/>
        <v>6.4551357365333324</v>
      </c>
      <c r="E91" s="4"/>
    </row>
    <row r="92" spans="1:5" x14ac:dyDescent="0.25">
      <c r="A92" s="2" t="s">
        <v>34</v>
      </c>
      <c r="B92" t="s">
        <v>127</v>
      </c>
      <c r="C92" s="2">
        <v>0.1898</v>
      </c>
      <c r="D92" s="35">
        <f t="shared" si="0"/>
        <v>0.86396217671111097</v>
      </c>
      <c r="E92" s="4"/>
    </row>
    <row r="93" spans="1:5" x14ac:dyDescent="0.25">
      <c r="A93" s="2" t="s">
        <v>36</v>
      </c>
      <c r="B93" t="s">
        <v>128</v>
      </c>
      <c r="C93" s="2">
        <v>0.95450000000000002</v>
      </c>
      <c r="D93" s="35">
        <f t="shared" si="0"/>
        <v>4.3448466684444442</v>
      </c>
      <c r="E93" s="4"/>
    </row>
    <row r="94" spans="1:5" x14ac:dyDescent="0.25">
      <c r="A94" s="2" t="s">
        <v>39</v>
      </c>
      <c r="B94" t="s">
        <v>129</v>
      </c>
      <c r="C94" s="2">
        <v>2.4723000000000002</v>
      </c>
      <c r="D94" s="35">
        <f>(C94*G$25)/12</f>
        <v>1.0468663167999999</v>
      </c>
      <c r="E94" s="4"/>
    </row>
    <row r="95" spans="1:5" x14ac:dyDescent="0.25">
      <c r="A95" s="2" t="s">
        <v>41</v>
      </c>
      <c r="B95" t="s">
        <v>130</v>
      </c>
      <c r="C95" s="2">
        <v>3.4521000000000002</v>
      </c>
      <c r="D95" s="35">
        <f t="shared" si="0"/>
        <v>15.713824184533332</v>
      </c>
      <c r="E95" s="4"/>
    </row>
    <row r="96" spans="1:5" x14ac:dyDescent="0.25">
      <c r="A96" s="2" t="s">
        <v>44</v>
      </c>
      <c r="C96" s="2">
        <f>SUBTOTAL(109,C90:C95)</f>
        <v>38.486800000000002</v>
      </c>
      <c r="D96" s="35">
        <f>SUBTOTAL(109,D90:D95)</f>
        <v>164.98346174968884</v>
      </c>
    </row>
    <row r="97" spans="1:4" x14ac:dyDescent="0.25">
      <c r="A97" s="2"/>
      <c r="C97" s="2"/>
      <c r="D97" s="35"/>
    </row>
    <row r="98" spans="1:4" x14ac:dyDescent="0.25">
      <c r="A98" s="193" t="s">
        <v>131</v>
      </c>
      <c r="B98" s="193"/>
      <c r="C98" s="193"/>
      <c r="D98" s="193"/>
    </row>
    <row r="99" spans="1:4" x14ac:dyDescent="0.25">
      <c r="A99" s="39" t="s">
        <v>2</v>
      </c>
      <c r="B99" s="39" t="s">
        <v>59</v>
      </c>
      <c r="C99" s="39" t="s">
        <v>60</v>
      </c>
      <c r="D99" s="39" t="s">
        <v>61</v>
      </c>
    </row>
    <row r="100" spans="1:4" x14ac:dyDescent="0.25">
      <c r="A100" s="3" t="s">
        <v>132</v>
      </c>
      <c r="B100" s="41" t="s">
        <v>133</v>
      </c>
      <c r="C100" s="1"/>
      <c r="D100" s="1"/>
    </row>
    <row r="101" spans="1:4" ht="60" x14ac:dyDescent="0.25">
      <c r="A101" s="3" t="s">
        <v>134</v>
      </c>
      <c r="B101" s="42" t="s">
        <v>135</v>
      </c>
      <c r="C101" s="1" t="s">
        <v>136</v>
      </c>
      <c r="D101" s="1" t="s">
        <v>137</v>
      </c>
    </row>
    <row r="102" spans="1:4" ht="60" x14ac:dyDescent="0.25">
      <c r="A102" s="3" t="s">
        <v>39</v>
      </c>
      <c r="B102" s="42" t="s">
        <v>138</v>
      </c>
      <c r="C102" s="1" t="s">
        <v>139</v>
      </c>
      <c r="D102" s="1" t="s">
        <v>137</v>
      </c>
    </row>
    <row r="103" spans="1:4" x14ac:dyDescent="0.25">
      <c r="A103" s="2"/>
      <c r="C103" s="2"/>
      <c r="D103" s="35"/>
    </row>
    <row r="104" spans="1:4" x14ac:dyDescent="0.25">
      <c r="A104" s="198" t="s">
        <v>140</v>
      </c>
      <c r="B104" s="198"/>
      <c r="C104" s="198"/>
      <c r="D104" s="198"/>
    </row>
    <row r="105" spans="1:4" x14ac:dyDescent="0.25">
      <c r="A105" s="2" t="s">
        <v>141</v>
      </c>
      <c r="B105" t="s">
        <v>142</v>
      </c>
      <c r="C105" s="2" t="s">
        <v>4</v>
      </c>
      <c r="D105" s="2" t="s">
        <v>5</v>
      </c>
    </row>
    <row r="106" spans="1:4" x14ac:dyDescent="0.25">
      <c r="A106" s="2" t="s">
        <v>28</v>
      </c>
      <c r="B106" t="s">
        <v>143</v>
      </c>
      <c r="C106" s="2"/>
      <c r="D106" s="35"/>
    </row>
    <row r="107" spans="1:4" x14ac:dyDescent="0.25">
      <c r="A107" s="2" t="s">
        <v>44</v>
      </c>
      <c r="C107" s="2"/>
      <c r="D107" s="35">
        <f>SUBTOTAL(109,D106:D106)</f>
        <v>0</v>
      </c>
    </row>
    <row r="109" spans="1:4" x14ac:dyDescent="0.25">
      <c r="A109" s="196" t="s">
        <v>144</v>
      </c>
      <c r="B109" s="196"/>
      <c r="C109" s="196"/>
      <c r="D109" s="196"/>
    </row>
    <row r="110" spans="1:4" x14ac:dyDescent="0.25">
      <c r="A110" s="2" t="s">
        <v>145</v>
      </c>
      <c r="B110" t="s">
        <v>146</v>
      </c>
      <c r="C110" s="2" t="s">
        <v>4</v>
      </c>
      <c r="D110" s="2" t="s">
        <v>5</v>
      </c>
    </row>
    <row r="111" spans="1:4" x14ac:dyDescent="0.25">
      <c r="A111" s="2" t="s">
        <v>122</v>
      </c>
      <c r="B111" t="s">
        <v>123</v>
      </c>
      <c r="D111" s="35">
        <f>Servente!$D$96</f>
        <v>164.98346174968884</v>
      </c>
    </row>
    <row r="112" spans="1:4" x14ac:dyDescent="0.25">
      <c r="A112" s="2" t="s">
        <v>141</v>
      </c>
      <c r="B112" t="s">
        <v>147</v>
      </c>
      <c r="D112" s="35">
        <f>Servente!$D$107</f>
        <v>0</v>
      </c>
    </row>
    <row r="113" spans="1:4" x14ac:dyDescent="0.25">
      <c r="A113" s="2" t="s">
        <v>44</v>
      </c>
      <c r="D113" s="35">
        <f>SUBTOTAL(109,D111:D112)</f>
        <v>164.98346174968884</v>
      </c>
    </row>
    <row r="115" spans="1:4" x14ac:dyDescent="0.25">
      <c r="A115" s="197" t="s">
        <v>148</v>
      </c>
      <c r="B115" s="197"/>
      <c r="C115" s="197"/>
      <c r="D115" s="197"/>
    </row>
    <row r="116" spans="1:4" x14ac:dyDescent="0.25">
      <c r="A116" s="2" t="s">
        <v>149</v>
      </c>
      <c r="B116" t="s">
        <v>150</v>
      </c>
      <c r="C116" s="2" t="s">
        <v>4</v>
      </c>
      <c r="D116" s="2" t="s">
        <v>5</v>
      </c>
    </row>
    <row r="117" spans="1:4" x14ac:dyDescent="0.25">
      <c r="A117" s="2" t="s">
        <v>28</v>
      </c>
      <c r="B117" t="s">
        <v>151</v>
      </c>
      <c r="D117" s="35" t="e">
        <f>#REF!</f>
        <v>#REF!</v>
      </c>
    </row>
    <row r="118" spans="1:4" x14ac:dyDescent="0.25">
      <c r="A118" s="2" t="s">
        <v>31</v>
      </c>
      <c r="B118" t="s">
        <v>152</v>
      </c>
      <c r="D118" s="35" t="e">
        <f>#REF!/#REF!</f>
        <v>#REF!</v>
      </c>
    </row>
    <row r="119" spans="1:4" x14ac:dyDescent="0.25">
      <c r="A119" s="2" t="s">
        <v>34</v>
      </c>
      <c r="B119" t="s">
        <v>153</v>
      </c>
      <c r="D119" s="35" t="e">
        <f>#REF!/#REF!</f>
        <v>#REF!</v>
      </c>
    </row>
    <row r="120" spans="1:4" x14ac:dyDescent="0.25">
      <c r="A120" s="2" t="s">
        <v>36</v>
      </c>
      <c r="B120" t="s">
        <v>154</v>
      </c>
      <c r="D120" s="35" t="e">
        <f>#REF!</f>
        <v>#REF!</v>
      </c>
    </row>
    <row r="121" spans="1:4" x14ac:dyDescent="0.25">
      <c r="A121" s="2" t="s">
        <v>44</v>
      </c>
      <c r="D121" s="35" t="e">
        <f>SUBTOTAL(109,D117:D120)</f>
        <v>#REF!</v>
      </c>
    </row>
    <row r="122" spans="1:4" x14ac:dyDescent="0.25">
      <c r="A122" s="2"/>
      <c r="D122" s="35"/>
    </row>
    <row r="123" spans="1:4" x14ac:dyDescent="0.25">
      <c r="A123" s="193" t="s">
        <v>155</v>
      </c>
      <c r="B123" s="193"/>
      <c r="C123" s="193"/>
      <c r="D123" s="193"/>
    </row>
    <row r="124" spans="1:4" x14ac:dyDescent="0.25">
      <c r="A124" s="39" t="s">
        <v>2</v>
      </c>
      <c r="B124" s="39" t="s">
        <v>59</v>
      </c>
      <c r="C124" s="39" t="s">
        <v>60</v>
      </c>
      <c r="D124" s="39" t="s">
        <v>61</v>
      </c>
    </row>
    <row r="125" spans="1:4" x14ac:dyDescent="0.25">
      <c r="A125" s="3" t="s">
        <v>28</v>
      </c>
      <c r="B125" s="41" t="s">
        <v>151</v>
      </c>
      <c r="C125" s="1" t="s">
        <v>156</v>
      </c>
      <c r="D125" s="1"/>
    </row>
    <row r="126" spans="1:4" ht="30" x14ac:dyDescent="0.25">
      <c r="A126" s="3" t="s">
        <v>31</v>
      </c>
      <c r="B126" s="42" t="s">
        <v>152</v>
      </c>
      <c r="C126" s="1" t="s">
        <v>157</v>
      </c>
      <c r="D126" s="1" t="s">
        <v>158</v>
      </c>
    </row>
    <row r="127" spans="1:4" ht="30" x14ac:dyDescent="0.25">
      <c r="A127" s="3" t="s">
        <v>34</v>
      </c>
      <c r="B127" s="42" t="s">
        <v>153</v>
      </c>
      <c r="C127" s="1" t="s">
        <v>159</v>
      </c>
      <c r="D127" s="1" t="s">
        <v>158</v>
      </c>
    </row>
    <row r="128" spans="1:4" x14ac:dyDescent="0.25">
      <c r="A128" s="3" t="s">
        <v>36</v>
      </c>
      <c r="B128" s="42" t="s">
        <v>154</v>
      </c>
      <c r="C128" s="1"/>
      <c r="D128" s="1"/>
    </row>
    <row r="130" spans="1:4" x14ac:dyDescent="0.25">
      <c r="A130" s="197" t="s">
        <v>160</v>
      </c>
      <c r="B130" s="197"/>
      <c r="C130" s="197"/>
      <c r="D130" s="197"/>
    </row>
    <row r="131" spans="1:4" outlineLevel="1" x14ac:dyDescent="0.25">
      <c r="A131" s="2" t="s">
        <v>161</v>
      </c>
      <c r="B131" t="s">
        <v>162</v>
      </c>
      <c r="C131" s="2" t="s">
        <v>24</v>
      </c>
      <c r="D131" s="2" t="s">
        <v>5</v>
      </c>
    </row>
    <row r="132" spans="1:4" outlineLevel="1" x14ac:dyDescent="0.25">
      <c r="A132" s="2" t="s">
        <v>28</v>
      </c>
      <c r="B132" t="s">
        <v>163</v>
      </c>
      <c r="C132" s="44">
        <f>G16</f>
        <v>0.03</v>
      </c>
      <c r="D132" s="35" t="e">
        <f>Servente!$C$132*(D143+D144+D145+D146+D147)</f>
        <v>#REF!</v>
      </c>
    </row>
    <row r="133" spans="1:4" outlineLevel="1" x14ac:dyDescent="0.25">
      <c r="A133" s="2" t="s">
        <v>31</v>
      </c>
      <c r="B133" t="s">
        <v>45</v>
      </c>
      <c r="C133" s="44">
        <f>G17</f>
        <v>6.7900000000000002E-2</v>
      </c>
      <c r="D133" s="35" t="e">
        <f>(SUM(D143:D147)+D132)*Servente!$C$133</f>
        <v>#REF!</v>
      </c>
    </row>
    <row r="134" spans="1:4" x14ac:dyDescent="0.25">
      <c r="A134" s="2" t="s">
        <v>34</v>
      </c>
      <c r="B134" t="s">
        <v>164</v>
      </c>
      <c r="C134" s="44">
        <f>SUM(C135:C137)</f>
        <v>0.14250000000000002</v>
      </c>
      <c r="D134" s="35" t="e">
        <f>Servente!$C$134*D150</f>
        <v>#REF!</v>
      </c>
    </row>
    <row r="135" spans="1:4" x14ac:dyDescent="0.25">
      <c r="A135" s="2" t="s">
        <v>165</v>
      </c>
      <c r="B135" t="s">
        <v>46</v>
      </c>
      <c r="C135" s="44">
        <f>G18</f>
        <v>1.6500000000000001E-2</v>
      </c>
      <c r="D135" s="35" t="e">
        <f>Servente!$C$135*D150</f>
        <v>#REF!</v>
      </c>
    </row>
    <row r="136" spans="1:4" x14ac:dyDescent="0.25">
      <c r="A136" s="2" t="s">
        <v>166</v>
      </c>
      <c r="B136" t="s">
        <v>48</v>
      </c>
      <c r="C136" s="44">
        <f>G19</f>
        <v>7.5999999999999998E-2</v>
      </c>
      <c r="D136" s="35" t="e">
        <f>Servente!$C$136*D150</f>
        <v>#REF!</v>
      </c>
    </row>
    <row r="137" spans="1:4" x14ac:dyDescent="0.25">
      <c r="A137" s="2" t="s">
        <v>167</v>
      </c>
      <c r="B137" t="s">
        <v>50</v>
      </c>
      <c r="C137" s="44">
        <f>G20</f>
        <v>0.05</v>
      </c>
      <c r="D137" s="35" t="e">
        <f>Servente!$C$137*D150</f>
        <v>#REF!</v>
      </c>
    </row>
    <row r="138" spans="1:4" x14ac:dyDescent="0.25">
      <c r="A138" s="2" t="s">
        <v>44</v>
      </c>
      <c r="C138" s="48"/>
      <c r="D138" s="35" t="e">
        <f>SUM(D132:D134)</f>
        <v>#REF!</v>
      </c>
    </row>
    <row r="139" spans="1:4" x14ac:dyDescent="0.25">
      <c r="A139" s="2"/>
      <c r="C139" s="48"/>
      <c r="D139" s="35"/>
    </row>
    <row r="141" spans="1:4" x14ac:dyDescent="0.25">
      <c r="A141" s="197" t="s">
        <v>168</v>
      </c>
      <c r="B141" s="197"/>
      <c r="C141" s="197"/>
      <c r="D141" s="197"/>
    </row>
    <row r="142" spans="1:4" x14ac:dyDescent="0.25">
      <c r="A142" s="2" t="s">
        <v>2</v>
      </c>
      <c r="B142" s="2" t="s">
        <v>169</v>
      </c>
      <c r="C142" s="2" t="s">
        <v>95</v>
      </c>
      <c r="D142" s="2" t="s">
        <v>5</v>
      </c>
    </row>
    <row r="143" spans="1:4" x14ac:dyDescent="0.25">
      <c r="A143" s="2" t="s">
        <v>28</v>
      </c>
      <c r="B143" t="s">
        <v>22</v>
      </c>
      <c r="D143" s="35">
        <f>Servente!$D$17</f>
        <v>1002.88</v>
      </c>
    </row>
    <row r="144" spans="1:4" x14ac:dyDescent="0.25">
      <c r="A144" s="2" t="s">
        <v>31</v>
      </c>
      <c r="B144" t="s">
        <v>47</v>
      </c>
      <c r="D144" s="35">
        <f>Servente!$D$66</f>
        <v>893.9248</v>
      </c>
    </row>
    <row r="145" spans="1:4" x14ac:dyDescent="0.25">
      <c r="A145" s="2" t="s">
        <v>34</v>
      </c>
      <c r="B145" t="s">
        <v>101</v>
      </c>
      <c r="D145" s="35">
        <f>Servente!$D$76</f>
        <v>161.74167222222218</v>
      </c>
    </row>
    <row r="146" spans="1:4" x14ac:dyDescent="0.25">
      <c r="A146" s="2" t="s">
        <v>36</v>
      </c>
      <c r="B146" t="s">
        <v>170</v>
      </c>
      <c r="D146" s="35">
        <f>Servente!$D$113</f>
        <v>164.98346174968884</v>
      </c>
    </row>
    <row r="147" spans="1:4" x14ac:dyDescent="0.25">
      <c r="A147" s="2" t="s">
        <v>39</v>
      </c>
      <c r="B147" t="s">
        <v>148</v>
      </c>
      <c r="D147" s="35" t="e">
        <f>Servente!$D$121</f>
        <v>#REF!</v>
      </c>
    </row>
    <row r="148" spans="1:4" x14ac:dyDescent="0.25">
      <c r="A148" t="s">
        <v>171</v>
      </c>
      <c r="D148" s="35" t="e">
        <f>SUM(D143:D147)</f>
        <v>#REF!</v>
      </c>
    </row>
    <row r="149" spans="1:4" x14ac:dyDescent="0.25">
      <c r="A149" s="2" t="s">
        <v>41</v>
      </c>
      <c r="B149" t="s">
        <v>160</v>
      </c>
      <c r="D149" s="35" t="e">
        <f>Servente!$D$138</f>
        <v>#REF!</v>
      </c>
    </row>
    <row r="150" spans="1:4" x14ac:dyDescent="0.25">
      <c r="A150" s="28" t="s">
        <v>172</v>
      </c>
      <c r="B150" s="28"/>
      <c r="C150" s="28"/>
      <c r="D150" s="49" t="e">
        <f>(SUM(D143:D147)+D132+D133)/(100%-C134)</f>
        <v>#REF!</v>
      </c>
    </row>
  </sheetData>
  <mergeCells count="25">
    <mergeCell ref="A1:D1"/>
    <mergeCell ref="F1:G1"/>
    <mergeCell ref="F8:G8"/>
    <mergeCell ref="A9:D9"/>
    <mergeCell ref="F14:G14"/>
    <mergeCell ref="A19:D19"/>
    <mergeCell ref="A20:D20"/>
    <mergeCell ref="F22:G22"/>
    <mergeCell ref="A26:D26"/>
    <mergeCell ref="A31:D31"/>
    <mergeCell ref="A43:D43"/>
    <mergeCell ref="A47:D47"/>
    <mergeCell ref="A56:D56"/>
    <mergeCell ref="A61:D61"/>
    <mergeCell ref="A68:D68"/>
    <mergeCell ref="A78:D78"/>
    <mergeCell ref="A87:D87"/>
    <mergeCell ref="A88:D88"/>
    <mergeCell ref="A141:D141"/>
    <mergeCell ref="A98:D98"/>
    <mergeCell ref="A104:D104"/>
    <mergeCell ref="A109:D109"/>
    <mergeCell ref="A115:D115"/>
    <mergeCell ref="A123:D123"/>
    <mergeCell ref="A130:D130"/>
  </mergeCells>
  <pageMargins left="0.7" right="0.7" top="0.75" bottom="0.75" header="0.3" footer="0.3"/>
  <pageSetup paperSize="9" orientation="portrait" horizontalDpi="0" verticalDpi="0"/>
  <legacyDrawing r:id="rId1"/>
  <tableParts count="23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50"/>
  <sheetViews>
    <sheetView showGridLines="0" topLeftCell="D125" zoomScale="85" zoomScaleSheetLayoutView="100" workbookViewId="0">
      <selection activeCell="D118" sqref="D118"/>
    </sheetView>
  </sheetViews>
  <sheetFormatPr defaultColWidth="9" defaultRowHeight="15" outlineLevelRow="1" x14ac:dyDescent="0.25"/>
  <cols>
    <col min="1" max="1" width="12.42578125" customWidth="1"/>
    <col min="2" max="2" width="76.42578125" customWidth="1"/>
    <col min="3" max="3" width="28.42578125" customWidth="1"/>
    <col min="4" max="4" width="27.42578125" customWidth="1"/>
    <col min="6" max="6" width="32.7109375" customWidth="1"/>
    <col min="7" max="7" width="13" customWidth="1"/>
  </cols>
  <sheetData>
    <row r="1" spans="1:21" x14ac:dyDescent="0.25">
      <c r="A1" s="199" t="s">
        <v>0</v>
      </c>
      <c r="B1" s="199"/>
      <c r="C1" s="199"/>
      <c r="D1" s="199"/>
      <c r="F1" s="198" t="s">
        <v>1</v>
      </c>
      <c r="G1" s="198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 x14ac:dyDescent="0.25">
      <c r="A2" s="2" t="s">
        <v>2</v>
      </c>
      <c r="B2" t="s">
        <v>3</v>
      </c>
      <c r="C2" s="2" t="s">
        <v>4</v>
      </c>
      <c r="D2" s="2" t="s">
        <v>5</v>
      </c>
      <c r="F2" t="s">
        <v>3</v>
      </c>
      <c r="G2" t="s">
        <v>5</v>
      </c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spans="1:21" x14ac:dyDescent="0.25">
      <c r="A3" s="2">
        <v>1</v>
      </c>
      <c r="B3" t="s">
        <v>6</v>
      </c>
      <c r="C3" s="2"/>
      <c r="D3" s="2" t="s">
        <v>7</v>
      </c>
      <c r="F3" t="s">
        <v>8</v>
      </c>
      <c r="G3" s="30">
        <v>3.8</v>
      </c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x14ac:dyDescent="0.25">
      <c r="A4" s="2">
        <v>2</v>
      </c>
      <c r="B4" t="s">
        <v>9</v>
      </c>
      <c r="C4" s="2"/>
      <c r="D4" s="2" t="s">
        <v>10</v>
      </c>
      <c r="F4" t="s">
        <v>11</v>
      </c>
      <c r="G4" s="30">
        <v>14</v>
      </c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1:21" x14ac:dyDescent="0.25">
      <c r="A5" s="2">
        <v>3</v>
      </c>
      <c r="B5" t="s">
        <v>12</v>
      </c>
      <c r="C5" s="2" t="s">
        <v>13</v>
      </c>
      <c r="D5" s="31">
        <v>1206.74</v>
      </c>
      <c r="F5" t="s">
        <v>14</v>
      </c>
      <c r="G5" s="32">
        <v>22</v>
      </c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21" x14ac:dyDescent="0.25">
      <c r="A6" s="2">
        <v>4</v>
      </c>
      <c r="B6" t="s">
        <v>15</v>
      </c>
      <c r="C6" s="2" t="s">
        <v>16</v>
      </c>
      <c r="D6" s="2" t="s">
        <v>173</v>
      </c>
      <c r="F6" t="s">
        <v>18</v>
      </c>
      <c r="G6" s="33">
        <v>0.03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21" x14ac:dyDescent="0.25">
      <c r="A7" s="2">
        <v>5</v>
      </c>
      <c r="B7" t="s">
        <v>19</v>
      </c>
      <c r="C7" s="2"/>
      <c r="D7" s="2" t="s">
        <v>20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</row>
    <row r="8" spans="1:21" x14ac:dyDescent="0.25">
      <c r="F8" s="198" t="s">
        <v>21</v>
      </c>
      <c r="G8" s="198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</row>
    <row r="9" spans="1:21" x14ac:dyDescent="0.25">
      <c r="A9" s="197" t="s">
        <v>22</v>
      </c>
      <c r="B9" s="197"/>
      <c r="C9" s="197"/>
      <c r="D9" s="197"/>
      <c r="F9" t="s">
        <v>23</v>
      </c>
      <c r="G9" t="s">
        <v>24</v>
      </c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</row>
    <row r="10" spans="1:21" x14ac:dyDescent="0.25">
      <c r="A10" s="2" t="s">
        <v>25</v>
      </c>
      <c r="B10" t="s">
        <v>26</v>
      </c>
      <c r="C10" s="2" t="s">
        <v>4</v>
      </c>
      <c r="D10" s="2" t="s">
        <v>5</v>
      </c>
      <c r="F10" t="s">
        <v>27</v>
      </c>
      <c r="G10" s="34">
        <v>0.43369999999999997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</row>
    <row r="11" spans="1:21" x14ac:dyDescent="0.25">
      <c r="A11" s="2" t="s">
        <v>28</v>
      </c>
      <c r="B11" t="s">
        <v>29</v>
      </c>
      <c r="C11" s="2"/>
      <c r="D11" s="35">
        <f>Salário_Normativo_da_Categoria_Profissional</f>
        <v>1206.74</v>
      </c>
      <c r="F11" t="s">
        <v>30</v>
      </c>
      <c r="G11" s="34">
        <v>0.43369999999999997</v>
      </c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</row>
    <row r="12" spans="1:21" x14ac:dyDescent="0.25">
      <c r="A12" s="2" t="s">
        <v>31</v>
      </c>
      <c r="B12" t="s">
        <v>32</v>
      </c>
      <c r="C12" s="2"/>
      <c r="D12" s="35"/>
      <c r="F12" t="s">
        <v>33</v>
      </c>
      <c r="G12" s="34">
        <v>2.18E-2</v>
      </c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</row>
    <row r="13" spans="1:21" x14ac:dyDescent="0.25">
      <c r="A13" s="2" t="s">
        <v>34</v>
      </c>
      <c r="B13" t="s">
        <v>35</v>
      </c>
      <c r="C13" s="2"/>
      <c r="D13" s="35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</row>
    <row r="14" spans="1:21" x14ac:dyDescent="0.25">
      <c r="A14" s="2" t="s">
        <v>36</v>
      </c>
      <c r="B14" t="s">
        <v>37</v>
      </c>
      <c r="C14" s="2"/>
      <c r="D14" s="35"/>
      <c r="F14" s="198" t="s">
        <v>38</v>
      </c>
      <c r="G14" s="198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</row>
    <row r="15" spans="1:21" x14ac:dyDescent="0.25">
      <c r="A15" s="2" t="s">
        <v>39</v>
      </c>
      <c r="B15" t="s">
        <v>40</v>
      </c>
      <c r="C15" s="2"/>
      <c r="D15" s="35"/>
      <c r="F15" s="29" t="s">
        <v>3</v>
      </c>
      <c r="G15" s="29" t="s">
        <v>24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</row>
    <row r="16" spans="1:21" x14ac:dyDescent="0.25">
      <c r="A16" s="2" t="s">
        <v>41</v>
      </c>
      <c r="B16" t="s">
        <v>42</v>
      </c>
      <c r="C16" s="2"/>
      <c r="D16" s="35">
        <v>200</v>
      </c>
      <c r="F16" s="29" t="s">
        <v>43</v>
      </c>
      <c r="G16" s="36">
        <v>0.03</v>
      </c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</row>
    <row r="17" spans="1:21" x14ac:dyDescent="0.25">
      <c r="A17" s="2" t="s">
        <v>44</v>
      </c>
      <c r="C17" s="2"/>
      <c r="D17" s="35">
        <f>SUBTOTAL(109,D11:D16)</f>
        <v>1406.74</v>
      </c>
      <c r="F17" s="29" t="s">
        <v>45</v>
      </c>
      <c r="G17" s="36">
        <v>6.7900000000000002E-2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</row>
    <row r="18" spans="1:21" x14ac:dyDescent="0.25">
      <c r="F18" s="29" t="s">
        <v>46</v>
      </c>
      <c r="G18" s="37">
        <v>1.6500000000000001E-2</v>
      </c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</row>
    <row r="19" spans="1:21" x14ac:dyDescent="0.25">
      <c r="A19" s="195" t="s">
        <v>47</v>
      </c>
      <c r="B19" s="195"/>
      <c r="C19" s="195"/>
      <c r="D19" s="195"/>
      <c r="F19" s="29" t="s">
        <v>48</v>
      </c>
      <c r="G19" s="37">
        <v>7.5999999999999998E-2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</row>
    <row r="20" spans="1:21" x14ac:dyDescent="0.25">
      <c r="A20" s="198" t="s">
        <v>49</v>
      </c>
      <c r="B20" s="198"/>
      <c r="C20" s="198"/>
      <c r="D20" s="198"/>
      <c r="F20" s="29" t="s">
        <v>50</v>
      </c>
      <c r="G20" s="37">
        <v>0.05</v>
      </c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</row>
    <row r="21" spans="1:21" x14ac:dyDescent="0.25">
      <c r="A21" s="2" t="s">
        <v>51</v>
      </c>
      <c r="B21" t="s">
        <v>52</v>
      </c>
      <c r="C21" s="2" t="s">
        <v>4</v>
      </c>
      <c r="D21" s="2" t="s">
        <v>5</v>
      </c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</row>
    <row r="22" spans="1:21" x14ac:dyDescent="0.25">
      <c r="A22" s="2" t="s">
        <v>28</v>
      </c>
      <c r="B22" t="s">
        <v>53</v>
      </c>
      <c r="D22" s="35">
        <f>Encarregado!$D$17/12</f>
        <v>117.22833333333334</v>
      </c>
      <c r="F22" s="198" t="s">
        <v>54</v>
      </c>
      <c r="G22" s="198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</row>
    <row r="23" spans="1:21" x14ac:dyDescent="0.25">
      <c r="A23" s="2" t="s">
        <v>31</v>
      </c>
      <c r="B23" t="s">
        <v>55</v>
      </c>
      <c r="D23" s="35">
        <f>(Encarregado!$D$17/12)*(1/3)</f>
        <v>39.076111111111111</v>
      </c>
      <c r="E23" s="4"/>
      <c r="F23" s="2" t="s">
        <v>3</v>
      </c>
      <c r="G23" s="2" t="s">
        <v>5</v>
      </c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</row>
    <row r="24" spans="1:21" x14ac:dyDescent="0.25">
      <c r="A24" s="2" t="s">
        <v>44</v>
      </c>
      <c r="D24" s="35">
        <f>SUBTOTAL(109,D22:D23)</f>
        <v>156.30444444444444</v>
      </c>
      <c r="F24" s="29" t="s">
        <v>56</v>
      </c>
      <c r="G24" s="38">
        <f>((D17+D24+(D17/12))*(100%+C41))/30</f>
        <v>76.620438666666658</v>
      </c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</row>
    <row r="25" spans="1:21" x14ac:dyDescent="0.25">
      <c r="A25" s="2"/>
      <c r="D25" s="35"/>
      <c r="F25" s="29" t="s">
        <v>57</v>
      </c>
      <c r="G25" s="38">
        <f>((D17*(1+(1/3))*(100%+C41))/12)/30</f>
        <v>7.1274826666666664</v>
      </c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</row>
    <row r="26" spans="1:21" x14ac:dyDescent="0.25">
      <c r="A26" s="193" t="s">
        <v>58</v>
      </c>
      <c r="B26" s="193"/>
      <c r="C26" s="193"/>
      <c r="D26" s="193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</row>
    <row r="27" spans="1:21" x14ac:dyDescent="0.25">
      <c r="A27" s="39" t="s">
        <v>2</v>
      </c>
      <c r="B27" s="39" t="s">
        <v>59</v>
      </c>
      <c r="C27" s="39" t="s">
        <v>60</v>
      </c>
      <c r="D27" s="40" t="s">
        <v>61</v>
      </c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</row>
    <row r="28" spans="1:21" ht="30" x14ac:dyDescent="0.25">
      <c r="A28" s="3" t="s">
        <v>28</v>
      </c>
      <c r="B28" s="41" t="s">
        <v>62</v>
      </c>
      <c r="C28" s="1" t="s">
        <v>63</v>
      </c>
      <c r="D28" s="41" t="s">
        <v>64</v>
      </c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</row>
    <row r="29" spans="1:21" x14ac:dyDescent="0.25">
      <c r="A29" s="3" t="s">
        <v>31</v>
      </c>
      <c r="B29" s="42" t="s">
        <v>55</v>
      </c>
      <c r="C29" s="1" t="s">
        <v>63</v>
      </c>
      <c r="D29" s="41" t="s">
        <v>65</v>
      </c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</row>
    <row r="30" spans="1:21" x14ac:dyDescent="0.25">
      <c r="A30" s="2"/>
      <c r="B30" s="2"/>
      <c r="C30" s="43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</row>
    <row r="31" spans="1:21" x14ac:dyDescent="0.25">
      <c r="A31" s="198" t="s">
        <v>66</v>
      </c>
      <c r="B31" s="198"/>
      <c r="C31" s="198"/>
      <c r="D31" s="198"/>
    </row>
    <row r="32" spans="1:21" x14ac:dyDescent="0.25">
      <c r="A32" s="2" t="s">
        <v>67</v>
      </c>
      <c r="B32" t="s">
        <v>68</v>
      </c>
      <c r="C32" s="2" t="s">
        <v>24</v>
      </c>
      <c r="D32" s="2" t="s">
        <v>69</v>
      </c>
    </row>
    <row r="33" spans="1:4" x14ac:dyDescent="0.25">
      <c r="A33" s="2" t="s">
        <v>28</v>
      </c>
      <c r="B33" t="s">
        <v>70</v>
      </c>
      <c r="C33" s="44">
        <v>0.2</v>
      </c>
      <c r="D33" s="35">
        <f>C33*(Encarregado!$D$17+Encarregado!$D$24)</f>
        <v>312.60888888888894</v>
      </c>
    </row>
    <row r="34" spans="1:4" x14ac:dyDescent="0.25">
      <c r="A34" s="2" t="s">
        <v>31</v>
      </c>
      <c r="B34" t="s">
        <v>71</v>
      </c>
      <c r="C34" s="44">
        <v>2.5000000000000001E-2</v>
      </c>
      <c r="D34" s="35">
        <f>C34*(Encarregado!$D$17+Encarregado!$D$24)</f>
        <v>39.076111111111118</v>
      </c>
    </row>
    <row r="35" spans="1:4" x14ac:dyDescent="0.25">
      <c r="A35" s="2" t="s">
        <v>34</v>
      </c>
      <c r="B35" t="s">
        <v>72</v>
      </c>
      <c r="C35" s="44">
        <f>Encarregado!G6</f>
        <v>0.03</v>
      </c>
      <c r="D35" s="35">
        <f>C35*(Encarregado!$D$17+Encarregado!$D$24)</f>
        <v>46.891333333333336</v>
      </c>
    </row>
    <row r="36" spans="1:4" x14ac:dyDescent="0.25">
      <c r="A36" s="2" t="s">
        <v>36</v>
      </c>
      <c r="B36" t="s">
        <v>73</v>
      </c>
      <c r="C36" s="44">
        <v>1.4999999999999999E-2</v>
      </c>
      <c r="D36" s="35">
        <f>C36*(Encarregado!$D$17+Encarregado!$D$24)</f>
        <v>23.445666666666668</v>
      </c>
    </row>
    <row r="37" spans="1:4" x14ac:dyDescent="0.25">
      <c r="A37" s="2" t="s">
        <v>39</v>
      </c>
      <c r="B37" t="s">
        <v>74</v>
      </c>
      <c r="C37" s="44">
        <v>0.01</v>
      </c>
      <c r="D37" s="35">
        <f>C37*(Encarregado!$D$17+Encarregado!$D$24)</f>
        <v>15.630444444444445</v>
      </c>
    </row>
    <row r="38" spans="1:4" x14ac:dyDescent="0.25">
      <c r="A38" s="2" t="s">
        <v>41</v>
      </c>
      <c r="B38" t="s">
        <v>75</v>
      </c>
      <c r="C38" s="44">
        <v>6.0000000000000001E-3</v>
      </c>
      <c r="D38" s="35">
        <f>C38*(Encarregado!$D$17+Encarregado!$D$24)</f>
        <v>9.3782666666666668</v>
      </c>
    </row>
    <row r="39" spans="1:4" x14ac:dyDescent="0.25">
      <c r="A39" s="2" t="s">
        <v>76</v>
      </c>
      <c r="B39" t="s">
        <v>77</v>
      </c>
      <c r="C39" s="44">
        <v>2E-3</v>
      </c>
      <c r="D39" s="35">
        <f>C39*(Encarregado!$D$17+Encarregado!$D$24)</f>
        <v>3.1260888888888889</v>
      </c>
    </row>
    <row r="40" spans="1:4" x14ac:dyDescent="0.25">
      <c r="A40" s="2" t="s">
        <v>78</v>
      </c>
      <c r="B40" t="s">
        <v>79</v>
      </c>
      <c r="C40" s="44">
        <v>0.08</v>
      </c>
      <c r="D40" s="35">
        <f>C40*(Encarregado!$D$17+Encarregado!$D$24)</f>
        <v>125.04355555555556</v>
      </c>
    </row>
    <row r="41" spans="1:4" x14ac:dyDescent="0.25">
      <c r="A41" s="2" t="s">
        <v>44</v>
      </c>
      <c r="C41" s="45">
        <f>SUBTOTAL(109,C33:C40)</f>
        <v>0.36800000000000005</v>
      </c>
      <c r="D41" s="35">
        <v>575.20035555555603</v>
      </c>
    </row>
    <row r="42" spans="1:4" x14ac:dyDescent="0.25">
      <c r="A42" s="2"/>
      <c r="C42" s="45"/>
      <c r="D42" s="35"/>
    </row>
    <row r="43" spans="1:4" x14ac:dyDescent="0.25">
      <c r="A43" s="193" t="s">
        <v>80</v>
      </c>
      <c r="B43" s="193"/>
      <c r="C43" s="193"/>
      <c r="D43" s="193"/>
    </row>
    <row r="44" spans="1:4" x14ac:dyDescent="0.25">
      <c r="A44" s="39" t="s">
        <v>2</v>
      </c>
      <c r="B44" s="39" t="s">
        <v>59</v>
      </c>
      <c r="C44" s="39" t="s">
        <v>60</v>
      </c>
      <c r="D44" s="40" t="s">
        <v>61</v>
      </c>
    </row>
    <row r="45" spans="1:4" ht="30" x14ac:dyDescent="0.25">
      <c r="A45" s="3" t="s">
        <v>81</v>
      </c>
      <c r="B45" s="41" t="s">
        <v>68</v>
      </c>
      <c r="C45" s="41" t="s">
        <v>82</v>
      </c>
      <c r="D45" s="41" t="s">
        <v>83</v>
      </c>
    </row>
    <row r="47" spans="1:4" x14ac:dyDescent="0.25">
      <c r="A47" s="198" t="s">
        <v>84</v>
      </c>
      <c r="B47" s="198"/>
      <c r="C47" s="198"/>
      <c r="D47" s="198"/>
    </row>
    <row r="48" spans="1:4" x14ac:dyDescent="0.25">
      <c r="A48" s="2" t="s">
        <v>85</v>
      </c>
      <c r="B48" t="s">
        <v>86</v>
      </c>
      <c r="C48" s="2" t="s">
        <v>4</v>
      </c>
      <c r="D48" s="2" t="s">
        <v>5</v>
      </c>
    </row>
    <row r="49" spans="1:4" x14ac:dyDescent="0.25">
      <c r="A49" s="2" t="s">
        <v>28</v>
      </c>
      <c r="B49" t="s">
        <v>87</v>
      </c>
      <c r="D49" s="35">
        <f>IF(G3=0,0,(Encarregado!G3*2*Encarregado!G5)-(6%*_1A))</f>
        <v>94.795599999999993</v>
      </c>
    </row>
    <row r="50" spans="1:4" x14ac:dyDescent="0.25">
      <c r="A50" s="2" t="s">
        <v>31</v>
      </c>
      <c r="B50" t="s">
        <v>88</v>
      </c>
      <c r="D50" s="35">
        <f>(Encarregado!G4*Encarregado!G5)*80%</f>
        <v>246.4</v>
      </c>
    </row>
    <row r="51" spans="1:4" x14ac:dyDescent="0.25">
      <c r="A51" s="2" t="s">
        <v>34</v>
      </c>
      <c r="B51" t="s">
        <v>89</v>
      </c>
      <c r="D51" s="35"/>
    </row>
    <row r="52" spans="1:4" x14ac:dyDescent="0.25">
      <c r="A52" s="2" t="s">
        <v>36</v>
      </c>
      <c r="B52" t="s">
        <v>90</v>
      </c>
      <c r="C52" t="s">
        <v>91</v>
      </c>
      <c r="D52" s="35">
        <v>4</v>
      </c>
    </row>
    <row r="53" spans="1:4" x14ac:dyDescent="0.25">
      <c r="A53" s="2" t="s">
        <v>39</v>
      </c>
      <c r="B53" t="s">
        <v>92</v>
      </c>
      <c r="C53" t="s">
        <v>93</v>
      </c>
      <c r="D53" s="35">
        <v>15</v>
      </c>
    </row>
    <row r="54" spans="1:4" x14ac:dyDescent="0.25">
      <c r="A54" s="2" t="s">
        <v>44</v>
      </c>
      <c r="D54" s="35">
        <f>SUBTOTAL(109,D49:D53)</f>
        <v>360.19560000000001</v>
      </c>
    </row>
    <row r="55" spans="1:4" x14ac:dyDescent="0.25">
      <c r="A55" s="2"/>
      <c r="D55" s="35"/>
    </row>
    <row r="56" spans="1:4" x14ac:dyDescent="0.25">
      <c r="A56" s="193" t="s">
        <v>94</v>
      </c>
      <c r="B56" s="193"/>
      <c r="C56" s="193"/>
      <c r="D56" s="193"/>
    </row>
    <row r="57" spans="1:4" x14ac:dyDescent="0.25">
      <c r="A57" s="39" t="s">
        <v>2</v>
      </c>
      <c r="B57" s="39" t="s">
        <v>59</v>
      </c>
      <c r="C57" s="39" t="s">
        <v>60</v>
      </c>
      <c r="D57" s="39" t="s">
        <v>61</v>
      </c>
    </row>
    <row r="58" spans="1:4" ht="45" x14ac:dyDescent="0.25">
      <c r="A58" s="3" t="s">
        <v>28</v>
      </c>
      <c r="B58" s="41" t="s">
        <v>87</v>
      </c>
      <c r="C58" s="1" t="s">
        <v>95</v>
      </c>
      <c r="D58" s="1" t="s">
        <v>96</v>
      </c>
    </row>
    <row r="59" spans="1:4" ht="30" x14ac:dyDescent="0.25">
      <c r="A59" s="3" t="s">
        <v>31</v>
      </c>
      <c r="B59" s="42" t="s">
        <v>88</v>
      </c>
      <c r="C59" s="1" t="s">
        <v>95</v>
      </c>
      <c r="D59" s="1" t="s">
        <v>97</v>
      </c>
    </row>
    <row r="60" spans="1:4" ht="19.5" customHeight="1" x14ac:dyDescent="0.25">
      <c r="A60" s="2"/>
      <c r="D60" s="35"/>
    </row>
    <row r="61" spans="1:4" x14ac:dyDescent="0.25">
      <c r="A61" s="198" t="s">
        <v>98</v>
      </c>
      <c r="B61" s="198"/>
      <c r="C61" s="198"/>
      <c r="D61" s="198"/>
    </row>
    <row r="62" spans="1:4" x14ac:dyDescent="0.25">
      <c r="A62" s="2" t="s">
        <v>99</v>
      </c>
      <c r="B62" t="s">
        <v>100</v>
      </c>
      <c r="C62" s="2" t="s">
        <v>4</v>
      </c>
      <c r="D62" s="2" t="s">
        <v>5</v>
      </c>
    </row>
    <row r="63" spans="1:4" x14ac:dyDescent="0.25">
      <c r="A63" s="2" t="s">
        <v>51</v>
      </c>
      <c r="B63" t="s">
        <v>52</v>
      </c>
      <c r="C63" s="2"/>
      <c r="D63" s="35">
        <f>Encarregado!$D$24</f>
        <v>156.30444444444444</v>
      </c>
    </row>
    <row r="64" spans="1:4" x14ac:dyDescent="0.25">
      <c r="A64" s="2" t="s">
        <v>67</v>
      </c>
      <c r="B64" t="s">
        <v>68</v>
      </c>
      <c r="C64" s="2"/>
      <c r="D64" s="35">
        <f>Encarregado!$D$41</f>
        <v>575.20035555555603</v>
      </c>
    </row>
    <row r="65" spans="1:4" x14ac:dyDescent="0.25">
      <c r="A65" s="2" t="s">
        <v>85</v>
      </c>
      <c r="B65" t="s">
        <v>86</v>
      </c>
      <c r="C65" s="2"/>
      <c r="D65" s="35">
        <f>Encarregado!$D$54</f>
        <v>360.19560000000001</v>
      </c>
    </row>
    <row r="66" spans="1:4" x14ac:dyDescent="0.25">
      <c r="A66" s="2" t="s">
        <v>44</v>
      </c>
      <c r="C66" s="2"/>
      <c r="D66" s="35">
        <v>1091.7003999999999</v>
      </c>
    </row>
    <row r="68" spans="1:4" x14ac:dyDescent="0.25">
      <c r="A68" s="197" t="s">
        <v>101</v>
      </c>
      <c r="B68" s="197"/>
      <c r="C68" s="197"/>
      <c r="D68" s="197"/>
    </row>
    <row r="69" spans="1:4" x14ac:dyDescent="0.25">
      <c r="A69" s="2" t="s">
        <v>102</v>
      </c>
      <c r="B69" t="s">
        <v>103</v>
      </c>
      <c r="C69" s="2" t="s">
        <v>4</v>
      </c>
      <c r="D69" s="2" t="s">
        <v>5</v>
      </c>
    </row>
    <row r="70" spans="1:4" x14ac:dyDescent="0.25">
      <c r="A70" s="2" t="s">
        <v>28</v>
      </c>
      <c r="B70" t="s">
        <v>104</v>
      </c>
      <c r="D70" s="35">
        <f>((Encarregado!$D$17+D63+D65)/12)*G10</f>
        <v>69.5091006062963</v>
      </c>
    </row>
    <row r="71" spans="1:4" x14ac:dyDescent="0.25">
      <c r="A71" s="2" t="s">
        <v>31</v>
      </c>
      <c r="B71" t="s">
        <v>105</v>
      </c>
      <c r="D71" s="35">
        <f>(D40/12)*Encarregado!G10</f>
        <v>4.5192825037037032</v>
      </c>
    </row>
    <row r="72" spans="1:4" x14ac:dyDescent="0.25">
      <c r="A72" s="2" t="s">
        <v>34</v>
      </c>
      <c r="B72" t="s">
        <v>106</v>
      </c>
      <c r="D72" s="35">
        <f>D40*50%*Encarregado!G10</f>
        <v>27.115695022222219</v>
      </c>
    </row>
    <row r="73" spans="1:4" x14ac:dyDescent="0.25">
      <c r="A73" s="2" t="s">
        <v>36</v>
      </c>
      <c r="B73" t="s">
        <v>107</v>
      </c>
      <c r="D73" s="35">
        <f>((Encarregado!$D$17+Encarregado!$D$66)/12)*G11</f>
        <v>90.297800123333317</v>
      </c>
    </row>
    <row r="74" spans="1:4" x14ac:dyDescent="0.25">
      <c r="A74" s="2" t="s">
        <v>39</v>
      </c>
      <c r="B74" t="s">
        <v>108</v>
      </c>
      <c r="D74" s="35">
        <f>D40*50%*Encarregado!G11</f>
        <v>27.115695022222219</v>
      </c>
    </row>
    <row r="75" spans="1:4" x14ac:dyDescent="0.25">
      <c r="A75" s="2" t="s">
        <v>41</v>
      </c>
      <c r="B75" t="s">
        <v>109</v>
      </c>
      <c r="D75" s="35">
        <f>-D63*Encarregado!G12</f>
        <v>-3.4074368888888888</v>
      </c>
    </row>
    <row r="76" spans="1:4" x14ac:dyDescent="0.25">
      <c r="A76" s="2" t="s">
        <v>44</v>
      </c>
      <c r="D76" s="35">
        <v>215.150136388889</v>
      </c>
    </row>
    <row r="77" spans="1:4" x14ac:dyDescent="0.25">
      <c r="A77" s="2"/>
      <c r="D77" s="35"/>
    </row>
    <row r="78" spans="1:4" x14ac:dyDescent="0.25">
      <c r="A78" s="193" t="s">
        <v>110</v>
      </c>
      <c r="B78" s="193"/>
      <c r="C78" s="193"/>
      <c r="D78" s="193"/>
    </row>
    <row r="79" spans="1:4" x14ac:dyDescent="0.25">
      <c r="A79" s="39" t="s">
        <v>2</v>
      </c>
      <c r="B79" s="39" t="s">
        <v>59</v>
      </c>
      <c r="C79" s="39" t="s">
        <v>60</v>
      </c>
      <c r="D79" s="39" t="s">
        <v>61</v>
      </c>
    </row>
    <row r="80" spans="1:4" ht="60" x14ac:dyDescent="0.25">
      <c r="A80" s="3" t="s">
        <v>28</v>
      </c>
      <c r="B80" s="41" t="s">
        <v>104</v>
      </c>
      <c r="C80" s="1" t="s">
        <v>111</v>
      </c>
      <c r="D80" s="1" t="s">
        <v>112</v>
      </c>
    </row>
    <row r="81" spans="1:5" ht="60" x14ac:dyDescent="0.25">
      <c r="A81" s="3" t="s">
        <v>31</v>
      </c>
      <c r="B81" s="42" t="s">
        <v>105</v>
      </c>
      <c r="C81" s="1" t="s">
        <v>113</v>
      </c>
      <c r="D81" s="1" t="s">
        <v>112</v>
      </c>
    </row>
    <row r="82" spans="1:5" ht="75" x14ac:dyDescent="0.25">
      <c r="A82" s="3" t="s">
        <v>34</v>
      </c>
      <c r="B82" s="42" t="s">
        <v>106</v>
      </c>
      <c r="C82" s="1" t="s">
        <v>113</v>
      </c>
      <c r="D82" s="46" t="s">
        <v>114</v>
      </c>
    </row>
    <row r="83" spans="1:5" ht="60" x14ac:dyDescent="0.25">
      <c r="A83" s="3" t="s">
        <v>36</v>
      </c>
      <c r="B83" s="47" t="s">
        <v>107</v>
      </c>
      <c r="C83" s="1" t="s">
        <v>115</v>
      </c>
      <c r="D83" s="46" t="s">
        <v>116</v>
      </c>
    </row>
    <row r="84" spans="1:5" ht="75" x14ac:dyDescent="0.25">
      <c r="A84" s="3" t="s">
        <v>39</v>
      </c>
      <c r="B84" s="47" t="s">
        <v>108</v>
      </c>
      <c r="C84" s="1" t="s">
        <v>113</v>
      </c>
      <c r="D84" s="46" t="s">
        <v>117</v>
      </c>
    </row>
    <row r="85" spans="1:5" ht="60" x14ac:dyDescent="0.25">
      <c r="A85" s="3" t="s">
        <v>41</v>
      </c>
      <c r="B85" s="47" t="s">
        <v>109</v>
      </c>
      <c r="C85" s="1" t="s">
        <v>118</v>
      </c>
      <c r="D85" s="46" t="s">
        <v>119</v>
      </c>
    </row>
    <row r="87" spans="1:5" x14ac:dyDescent="0.25">
      <c r="A87" s="194" t="s">
        <v>120</v>
      </c>
      <c r="B87" s="195"/>
      <c r="C87" s="195"/>
      <c r="D87" s="195"/>
    </row>
    <row r="88" spans="1:5" x14ac:dyDescent="0.25">
      <c r="A88" s="196" t="s">
        <v>121</v>
      </c>
      <c r="B88" s="196"/>
      <c r="C88" s="196"/>
      <c r="D88" s="196"/>
    </row>
    <row r="89" spans="1:5" x14ac:dyDescent="0.25">
      <c r="A89" s="2" t="s">
        <v>122</v>
      </c>
      <c r="B89" t="s">
        <v>123</v>
      </c>
      <c r="C89" s="2" t="s">
        <v>124</v>
      </c>
      <c r="D89" s="2" t="s">
        <v>5</v>
      </c>
    </row>
    <row r="90" spans="1:5" x14ac:dyDescent="0.25">
      <c r="A90" s="2" t="s">
        <v>28</v>
      </c>
      <c r="B90" t="s">
        <v>125</v>
      </c>
      <c r="C90" s="2">
        <v>30</v>
      </c>
      <c r="D90" s="35">
        <f t="shared" ref="D90:D95" si="0">(C90*G$24)/12</f>
        <v>191.55109666666667</v>
      </c>
      <c r="E90" s="4"/>
    </row>
    <row r="91" spans="1:5" x14ac:dyDescent="0.25">
      <c r="A91" s="2" t="s">
        <v>31</v>
      </c>
      <c r="B91" t="s">
        <v>126</v>
      </c>
      <c r="C91" s="2">
        <v>1.4180999999999999</v>
      </c>
      <c r="D91" s="35">
        <f t="shared" si="0"/>
        <v>9.0546203394333329</v>
      </c>
      <c r="E91" s="4"/>
    </row>
    <row r="92" spans="1:5" x14ac:dyDescent="0.25">
      <c r="A92" s="2" t="s">
        <v>34</v>
      </c>
      <c r="B92" t="s">
        <v>127</v>
      </c>
      <c r="C92" s="2">
        <v>0.1898</v>
      </c>
      <c r="D92" s="35">
        <f t="shared" si="0"/>
        <v>1.2118799382444443</v>
      </c>
      <c r="E92" s="4"/>
    </row>
    <row r="93" spans="1:5" x14ac:dyDescent="0.25">
      <c r="A93" s="2" t="s">
        <v>36</v>
      </c>
      <c r="B93" t="s">
        <v>128</v>
      </c>
      <c r="C93" s="2">
        <v>0.95450000000000002</v>
      </c>
      <c r="D93" s="35">
        <f t="shared" si="0"/>
        <v>6.0945173922777771</v>
      </c>
      <c r="E93" s="4"/>
    </row>
    <row r="94" spans="1:5" x14ac:dyDescent="0.25">
      <c r="A94" s="2" t="s">
        <v>39</v>
      </c>
      <c r="B94" t="s">
        <v>129</v>
      </c>
      <c r="C94" s="2">
        <v>2.4723000000000002</v>
      </c>
      <c r="D94" s="35">
        <f>(C94*G$25)/12</f>
        <v>1.4684396164000002</v>
      </c>
      <c r="E94" s="4"/>
    </row>
    <row r="95" spans="1:5" x14ac:dyDescent="0.25">
      <c r="A95" s="2" t="s">
        <v>41</v>
      </c>
      <c r="B95" t="s">
        <v>130</v>
      </c>
      <c r="C95" s="2">
        <v>3.4521000000000002</v>
      </c>
      <c r="D95" s="35">
        <f t="shared" si="0"/>
        <v>22.041784693433332</v>
      </c>
      <c r="E95" s="4"/>
    </row>
    <row r="96" spans="1:5" x14ac:dyDescent="0.25">
      <c r="A96" s="2" t="s">
        <v>44</v>
      </c>
      <c r="C96" s="2">
        <f>SUBTOTAL(109,C90:C95)</f>
        <v>38.486800000000002</v>
      </c>
      <c r="D96" s="35">
        <f>SUBTOTAL(109,D90:D95)</f>
        <v>231.42233864645553</v>
      </c>
    </row>
    <row r="97" spans="1:4" x14ac:dyDescent="0.25">
      <c r="A97" s="2"/>
      <c r="C97" s="2"/>
      <c r="D97" s="35"/>
    </row>
    <row r="98" spans="1:4" x14ac:dyDescent="0.25">
      <c r="A98" s="193" t="s">
        <v>131</v>
      </c>
      <c r="B98" s="193"/>
      <c r="C98" s="193"/>
      <c r="D98" s="193"/>
    </row>
    <row r="99" spans="1:4" x14ac:dyDescent="0.25">
      <c r="A99" s="39" t="s">
        <v>2</v>
      </c>
      <c r="B99" s="39" t="s">
        <v>59</v>
      </c>
      <c r="C99" s="39" t="s">
        <v>60</v>
      </c>
      <c r="D99" s="39" t="s">
        <v>61</v>
      </c>
    </row>
    <row r="100" spans="1:4" x14ac:dyDescent="0.25">
      <c r="A100" s="3" t="s">
        <v>132</v>
      </c>
      <c r="B100" s="41" t="s">
        <v>133</v>
      </c>
      <c r="C100" s="1"/>
      <c r="D100" s="1"/>
    </row>
    <row r="101" spans="1:4" ht="60" x14ac:dyDescent="0.25">
      <c r="A101" s="3" t="s">
        <v>134</v>
      </c>
      <c r="B101" s="42" t="s">
        <v>135</v>
      </c>
      <c r="C101" s="1" t="s">
        <v>136</v>
      </c>
      <c r="D101" s="1" t="s">
        <v>137</v>
      </c>
    </row>
    <row r="102" spans="1:4" ht="60" x14ac:dyDescent="0.25">
      <c r="A102" s="3" t="s">
        <v>39</v>
      </c>
      <c r="B102" s="42" t="s">
        <v>138</v>
      </c>
      <c r="C102" s="1" t="s">
        <v>139</v>
      </c>
      <c r="D102" s="1" t="s">
        <v>137</v>
      </c>
    </row>
    <row r="103" spans="1:4" x14ac:dyDescent="0.25">
      <c r="A103" s="2"/>
      <c r="C103" s="2"/>
      <c r="D103" s="35"/>
    </row>
    <row r="104" spans="1:4" x14ac:dyDescent="0.25">
      <c r="A104" s="198" t="s">
        <v>140</v>
      </c>
      <c r="B104" s="198"/>
      <c r="C104" s="198"/>
      <c r="D104" s="198"/>
    </row>
    <row r="105" spans="1:4" x14ac:dyDescent="0.25">
      <c r="A105" s="2" t="s">
        <v>141</v>
      </c>
      <c r="B105" t="s">
        <v>142</v>
      </c>
      <c r="C105" s="2" t="s">
        <v>4</v>
      </c>
      <c r="D105" s="2" t="s">
        <v>5</v>
      </c>
    </row>
    <row r="106" spans="1:4" x14ac:dyDescent="0.25">
      <c r="A106" s="2" t="s">
        <v>28</v>
      </c>
      <c r="B106" t="s">
        <v>143</v>
      </c>
      <c r="C106" s="2"/>
      <c r="D106" s="35"/>
    </row>
    <row r="107" spans="1:4" x14ac:dyDescent="0.25">
      <c r="A107" s="2" t="s">
        <v>44</v>
      </c>
      <c r="C107" s="2"/>
      <c r="D107" s="35">
        <f>SUBTOTAL(109,D106:D106)</f>
        <v>0</v>
      </c>
    </row>
    <row r="109" spans="1:4" x14ac:dyDescent="0.25">
      <c r="A109" s="196" t="s">
        <v>144</v>
      </c>
      <c r="B109" s="196"/>
      <c r="C109" s="196"/>
      <c r="D109" s="196"/>
    </row>
    <row r="110" spans="1:4" x14ac:dyDescent="0.25">
      <c r="A110" s="2" t="s">
        <v>145</v>
      </c>
      <c r="B110" t="s">
        <v>146</v>
      </c>
      <c r="C110" s="2" t="s">
        <v>4</v>
      </c>
      <c r="D110" s="2" t="s">
        <v>5</v>
      </c>
    </row>
    <row r="111" spans="1:4" x14ac:dyDescent="0.25">
      <c r="A111" s="2" t="s">
        <v>122</v>
      </c>
      <c r="B111" t="s">
        <v>123</v>
      </c>
      <c r="D111" s="35">
        <f>Encarregado!$D$96</f>
        <v>231.42233864645553</v>
      </c>
    </row>
    <row r="112" spans="1:4" x14ac:dyDescent="0.25">
      <c r="A112" s="2" t="s">
        <v>141</v>
      </c>
      <c r="B112" t="s">
        <v>147</v>
      </c>
      <c r="D112" s="35">
        <f>Encarregado!$D$107</f>
        <v>0</v>
      </c>
    </row>
    <row r="113" spans="1:4" x14ac:dyDescent="0.25">
      <c r="A113" s="2" t="s">
        <v>44</v>
      </c>
      <c r="D113" s="35">
        <f>SUBTOTAL(109,D111:D112)</f>
        <v>231.42233864645553</v>
      </c>
    </row>
    <row r="115" spans="1:4" x14ac:dyDescent="0.25">
      <c r="A115" s="197" t="s">
        <v>148</v>
      </c>
      <c r="B115" s="197"/>
      <c r="C115" s="197"/>
      <c r="D115" s="197"/>
    </row>
    <row r="116" spans="1:4" x14ac:dyDescent="0.25">
      <c r="A116" s="2" t="s">
        <v>149</v>
      </c>
      <c r="B116" t="s">
        <v>150</v>
      </c>
      <c r="C116" s="2" t="s">
        <v>4</v>
      </c>
      <c r="D116" s="2" t="s">
        <v>5</v>
      </c>
    </row>
    <row r="117" spans="1:4" x14ac:dyDescent="0.25">
      <c r="A117" s="2" t="s">
        <v>28</v>
      </c>
      <c r="B117" t="s">
        <v>151</v>
      </c>
      <c r="D117" s="35" t="e">
        <f>#REF!</f>
        <v>#REF!</v>
      </c>
    </row>
    <row r="118" spans="1:4" x14ac:dyDescent="0.25">
      <c r="A118" s="2" t="s">
        <v>31</v>
      </c>
      <c r="B118" t="s">
        <v>152</v>
      </c>
      <c r="D118" s="35"/>
    </row>
    <row r="119" spans="1:4" x14ac:dyDescent="0.25">
      <c r="A119" s="2" t="s">
        <v>34</v>
      </c>
      <c r="B119" t="s">
        <v>153</v>
      </c>
      <c r="D119" s="35"/>
    </row>
    <row r="120" spans="1:4" x14ac:dyDescent="0.25">
      <c r="A120" s="2" t="s">
        <v>36</v>
      </c>
      <c r="B120" t="s">
        <v>154</v>
      </c>
      <c r="D120" s="35"/>
    </row>
    <row r="121" spans="1:4" x14ac:dyDescent="0.25">
      <c r="A121" s="2" t="s">
        <v>44</v>
      </c>
      <c r="D121" s="35" t="e">
        <f>SUBTOTAL(109,D117:D120)</f>
        <v>#REF!</v>
      </c>
    </row>
    <row r="122" spans="1:4" x14ac:dyDescent="0.25">
      <c r="A122" s="2"/>
      <c r="D122" s="35"/>
    </row>
    <row r="123" spans="1:4" x14ac:dyDescent="0.25">
      <c r="A123" s="193" t="s">
        <v>155</v>
      </c>
      <c r="B123" s="193"/>
      <c r="C123" s="193"/>
      <c r="D123" s="193"/>
    </row>
    <row r="124" spans="1:4" x14ac:dyDescent="0.25">
      <c r="A124" s="39" t="s">
        <v>2</v>
      </c>
      <c r="B124" s="39" t="s">
        <v>59</v>
      </c>
      <c r="C124" s="39" t="s">
        <v>60</v>
      </c>
      <c r="D124" s="39" t="s">
        <v>61</v>
      </c>
    </row>
    <row r="125" spans="1:4" x14ac:dyDescent="0.25">
      <c r="A125" s="3" t="s">
        <v>28</v>
      </c>
      <c r="B125" s="41" t="s">
        <v>151</v>
      </c>
      <c r="C125" s="1" t="s">
        <v>156</v>
      </c>
      <c r="D125" s="1"/>
    </row>
    <row r="126" spans="1:4" ht="30" x14ac:dyDescent="0.25">
      <c r="A126" s="3" t="s">
        <v>31</v>
      </c>
      <c r="B126" s="42" t="s">
        <v>152</v>
      </c>
      <c r="C126" s="1" t="s">
        <v>157</v>
      </c>
      <c r="D126" s="1" t="s">
        <v>158</v>
      </c>
    </row>
    <row r="127" spans="1:4" ht="30" x14ac:dyDescent="0.25">
      <c r="A127" s="3" t="s">
        <v>34</v>
      </c>
      <c r="B127" s="42" t="s">
        <v>153</v>
      </c>
      <c r="C127" s="1" t="s">
        <v>159</v>
      </c>
      <c r="D127" s="1" t="s">
        <v>158</v>
      </c>
    </row>
    <row r="128" spans="1:4" x14ac:dyDescent="0.25">
      <c r="A128" s="3" t="s">
        <v>36</v>
      </c>
      <c r="B128" s="42" t="s">
        <v>154</v>
      </c>
      <c r="C128" s="1"/>
      <c r="D128" s="1"/>
    </row>
    <row r="130" spans="1:4" x14ac:dyDescent="0.25">
      <c r="A130" s="197" t="s">
        <v>160</v>
      </c>
      <c r="B130" s="197"/>
      <c r="C130" s="197"/>
      <c r="D130" s="197"/>
    </row>
    <row r="131" spans="1:4" outlineLevel="1" x14ac:dyDescent="0.25">
      <c r="A131" s="2" t="s">
        <v>161</v>
      </c>
      <c r="B131" t="s">
        <v>162</v>
      </c>
      <c r="C131" s="2" t="s">
        <v>24</v>
      </c>
      <c r="D131" s="2" t="s">
        <v>5</v>
      </c>
    </row>
    <row r="132" spans="1:4" outlineLevel="1" x14ac:dyDescent="0.25">
      <c r="A132" s="2" t="s">
        <v>28</v>
      </c>
      <c r="B132" t="s">
        <v>163</v>
      </c>
      <c r="C132" s="44">
        <f>G16</f>
        <v>0.03</v>
      </c>
      <c r="D132" s="35" t="e">
        <f>Encarregado!$C$132*(D143+D144+D145+D146+D147)</f>
        <v>#REF!</v>
      </c>
    </row>
    <row r="133" spans="1:4" outlineLevel="1" x14ac:dyDescent="0.25">
      <c r="A133" s="2" t="s">
        <v>31</v>
      </c>
      <c r="B133" t="s">
        <v>45</v>
      </c>
      <c r="C133" s="44">
        <f>G17</f>
        <v>6.7900000000000002E-2</v>
      </c>
      <c r="D133" s="35" t="e">
        <f>(SUM(D143:D147)+D132)*Encarregado!$C$133</f>
        <v>#REF!</v>
      </c>
    </row>
    <row r="134" spans="1:4" x14ac:dyDescent="0.25">
      <c r="A134" s="2" t="s">
        <v>34</v>
      </c>
      <c r="B134" t="s">
        <v>164</v>
      </c>
      <c r="C134" s="44">
        <f>SUM(C135:C137)</f>
        <v>0.14250000000000002</v>
      </c>
      <c r="D134" s="35" t="e">
        <f>Encarregado!$C$134*D150</f>
        <v>#REF!</v>
      </c>
    </row>
    <row r="135" spans="1:4" x14ac:dyDescent="0.25">
      <c r="A135" s="2" t="s">
        <v>165</v>
      </c>
      <c r="B135" t="s">
        <v>46</v>
      </c>
      <c r="C135" s="44">
        <f>G18</f>
        <v>1.6500000000000001E-2</v>
      </c>
      <c r="D135" s="35" t="e">
        <f>Encarregado!$C$135*D150</f>
        <v>#REF!</v>
      </c>
    </row>
    <row r="136" spans="1:4" x14ac:dyDescent="0.25">
      <c r="A136" s="2" t="s">
        <v>166</v>
      </c>
      <c r="B136" t="s">
        <v>48</v>
      </c>
      <c r="C136" s="44">
        <f>G19</f>
        <v>7.5999999999999998E-2</v>
      </c>
      <c r="D136" s="35" t="e">
        <f>Encarregado!$C$136*D150</f>
        <v>#REF!</v>
      </c>
    </row>
    <row r="137" spans="1:4" x14ac:dyDescent="0.25">
      <c r="A137" s="2" t="s">
        <v>167</v>
      </c>
      <c r="B137" t="s">
        <v>50</v>
      </c>
      <c r="C137" s="44">
        <f>G20</f>
        <v>0.05</v>
      </c>
      <c r="D137" s="35" t="e">
        <f>Encarregado!$C$137*D150</f>
        <v>#REF!</v>
      </c>
    </row>
    <row r="138" spans="1:4" x14ac:dyDescent="0.25">
      <c r="A138" s="2" t="s">
        <v>44</v>
      </c>
      <c r="C138" s="48"/>
      <c r="D138" s="35" t="e">
        <f>SUM(D132:D134)</f>
        <v>#REF!</v>
      </c>
    </row>
    <row r="139" spans="1:4" x14ac:dyDescent="0.25">
      <c r="A139" s="2"/>
      <c r="C139" s="48"/>
      <c r="D139" s="35"/>
    </row>
    <row r="141" spans="1:4" x14ac:dyDescent="0.25">
      <c r="A141" s="197" t="s">
        <v>168</v>
      </c>
      <c r="B141" s="197"/>
      <c r="C141" s="197"/>
      <c r="D141" s="197"/>
    </row>
    <row r="142" spans="1:4" x14ac:dyDescent="0.25">
      <c r="A142" s="2" t="s">
        <v>2</v>
      </c>
      <c r="B142" s="2" t="s">
        <v>169</v>
      </c>
      <c r="C142" s="2" t="s">
        <v>95</v>
      </c>
      <c r="D142" s="2" t="s">
        <v>5</v>
      </c>
    </row>
    <row r="143" spans="1:4" x14ac:dyDescent="0.25">
      <c r="A143" s="2" t="s">
        <v>28</v>
      </c>
      <c r="B143" t="s">
        <v>22</v>
      </c>
      <c r="D143" s="35">
        <f>Encarregado!$D$17</f>
        <v>1406.74</v>
      </c>
    </row>
    <row r="144" spans="1:4" x14ac:dyDescent="0.25">
      <c r="A144" s="2" t="s">
        <v>31</v>
      </c>
      <c r="B144" t="s">
        <v>47</v>
      </c>
      <c r="D144" s="35">
        <f>Encarregado!$D$66</f>
        <v>1091.7003999999999</v>
      </c>
    </row>
    <row r="145" spans="1:4" x14ac:dyDescent="0.25">
      <c r="A145" s="2" t="s">
        <v>34</v>
      </c>
      <c r="B145" t="s">
        <v>101</v>
      </c>
      <c r="D145" s="35">
        <f>Encarregado!$D$76</f>
        <v>215.150136388889</v>
      </c>
    </row>
    <row r="146" spans="1:4" x14ac:dyDescent="0.25">
      <c r="A146" s="2" t="s">
        <v>36</v>
      </c>
      <c r="B146" t="s">
        <v>170</v>
      </c>
      <c r="D146" s="35">
        <f>Encarregado!$D$113</f>
        <v>231.42233864645553</v>
      </c>
    </row>
    <row r="147" spans="1:4" x14ac:dyDescent="0.25">
      <c r="A147" s="2" t="s">
        <v>39</v>
      </c>
      <c r="B147" t="s">
        <v>148</v>
      </c>
      <c r="D147" s="35" t="e">
        <f>Encarregado!$D$121</f>
        <v>#REF!</v>
      </c>
    </row>
    <row r="148" spans="1:4" x14ac:dyDescent="0.25">
      <c r="A148" t="s">
        <v>171</v>
      </c>
      <c r="D148" s="35" t="e">
        <f>SUM(D143:D147)</f>
        <v>#REF!</v>
      </c>
    </row>
    <row r="149" spans="1:4" x14ac:dyDescent="0.25">
      <c r="A149" s="2" t="s">
        <v>41</v>
      </c>
      <c r="B149" t="s">
        <v>160</v>
      </c>
      <c r="D149" s="35" t="e">
        <f>Encarregado!$D$138</f>
        <v>#REF!</v>
      </c>
    </row>
    <row r="150" spans="1:4" x14ac:dyDescent="0.25">
      <c r="A150" s="28" t="s">
        <v>172</v>
      </c>
      <c r="B150" s="28"/>
      <c r="C150" s="28"/>
      <c r="D150" s="49" t="e">
        <f>(SUM(D143:D147)+D132+D133)/(100%-C134)</f>
        <v>#REF!</v>
      </c>
    </row>
  </sheetData>
  <mergeCells count="25">
    <mergeCell ref="A1:D1"/>
    <mergeCell ref="F1:G1"/>
    <mergeCell ref="F8:G8"/>
    <mergeCell ref="A9:D9"/>
    <mergeCell ref="F14:G14"/>
    <mergeCell ref="A19:D19"/>
    <mergeCell ref="A20:D20"/>
    <mergeCell ref="F22:G22"/>
    <mergeCell ref="A26:D26"/>
    <mergeCell ref="A31:D31"/>
    <mergeCell ref="A43:D43"/>
    <mergeCell ref="A47:D47"/>
    <mergeCell ref="A56:D56"/>
    <mergeCell ref="A61:D61"/>
    <mergeCell ref="A68:D68"/>
    <mergeCell ref="A78:D78"/>
    <mergeCell ref="A87:D87"/>
    <mergeCell ref="A88:D88"/>
    <mergeCell ref="A141:D141"/>
    <mergeCell ref="A98:D98"/>
    <mergeCell ref="A104:D104"/>
    <mergeCell ref="A109:D109"/>
    <mergeCell ref="A115:D115"/>
    <mergeCell ref="A123:D123"/>
    <mergeCell ref="A130:D130"/>
  </mergeCells>
  <pageMargins left="0.7" right="0.7" top="0.75" bottom="0.75" header="0.3" footer="0.3"/>
  <pageSetup paperSize="9" orientation="portrait" horizontalDpi="0" verticalDpi="0"/>
  <legacyDrawing r:id="rId1"/>
  <tableParts count="23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0D2FF-A61A-420A-B6E5-0065F7954792}">
  <sheetPr>
    <pageSetUpPr fitToPage="1"/>
  </sheetPr>
  <dimension ref="A1:N7"/>
  <sheetViews>
    <sheetView tabSelected="1" zoomScale="85" zoomScaleNormal="85" workbookViewId="0">
      <selection activeCell="H6" sqref="H6"/>
    </sheetView>
  </sheetViews>
  <sheetFormatPr defaultRowHeight="15" x14ac:dyDescent="0.25"/>
  <cols>
    <col min="1" max="1" width="5.5703125" bestFit="1" customWidth="1"/>
    <col min="2" max="2" width="16.140625" bestFit="1" customWidth="1"/>
    <col min="3" max="3" width="49.5703125" bestFit="1" customWidth="1"/>
    <col min="4" max="4" width="18.42578125" bestFit="1" customWidth="1"/>
    <col min="5" max="5" width="15.7109375" bestFit="1" customWidth="1"/>
    <col min="6" max="6" width="21.5703125" bestFit="1" customWidth="1"/>
    <col min="7" max="7" width="21.42578125" customWidth="1"/>
    <col min="8" max="8" width="18.28515625" bestFit="1" customWidth="1"/>
    <col min="10" max="10" width="11.28515625" bestFit="1" customWidth="1"/>
    <col min="14" max="14" width="12.7109375" bestFit="1" customWidth="1"/>
  </cols>
  <sheetData>
    <row r="1" spans="1:14" x14ac:dyDescent="0.25">
      <c r="A1" s="200" t="s">
        <v>339</v>
      </c>
      <c r="B1" s="200"/>
      <c r="C1" s="200"/>
      <c r="D1" s="200"/>
      <c r="E1" s="200"/>
      <c r="F1" s="200"/>
      <c r="G1" s="200"/>
      <c r="H1" s="200"/>
    </row>
    <row r="2" spans="1:14" ht="60.75" customHeight="1" thickBot="1" x14ac:dyDescent="0.3">
      <c r="A2" s="79" t="s">
        <v>185</v>
      </c>
      <c r="B2" s="79" t="s">
        <v>340</v>
      </c>
      <c r="C2" s="79" t="s">
        <v>186</v>
      </c>
      <c r="D2" s="79" t="s">
        <v>203</v>
      </c>
      <c r="E2" s="79" t="s">
        <v>188</v>
      </c>
      <c r="F2" s="79" t="s">
        <v>344</v>
      </c>
      <c r="G2" s="79" t="s">
        <v>345</v>
      </c>
      <c r="H2" s="80" t="s">
        <v>346</v>
      </c>
    </row>
    <row r="3" spans="1:14" ht="35.25" customHeight="1" thickTop="1" x14ac:dyDescent="0.25">
      <c r="A3" s="147">
        <v>1</v>
      </c>
      <c r="B3" s="147">
        <v>25194</v>
      </c>
      <c r="C3" s="141" t="s">
        <v>349</v>
      </c>
      <c r="D3" s="138" t="s">
        <v>342</v>
      </c>
      <c r="E3" s="139">
        <v>12</v>
      </c>
      <c r="F3" s="145">
        <f>+SUM('Áreas e Produtividade'!C3:C9)</f>
        <v>99960</v>
      </c>
      <c r="G3" s="13">
        <f>+'Áreas e Produtividade'!I11</f>
        <v>20853.930312800436</v>
      </c>
      <c r="H3" s="146">
        <f t="shared" ref="H3" si="0">+G3*E3</f>
        <v>250247.16375360521</v>
      </c>
      <c r="J3" s="4"/>
    </row>
    <row r="4" spans="1:14" ht="27" customHeight="1" x14ac:dyDescent="0.25">
      <c r="A4" s="142">
        <v>2</v>
      </c>
      <c r="B4" s="148">
        <v>438635</v>
      </c>
      <c r="C4" s="137" t="s">
        <v>341</v>
      </c>
      <c r="D4" s="140" t="s">
        <v>343</v>
      </c>
      <c r="E4" s="149">
        <v>12</v>
      </c>
      <c r="F4" s="143" t="s">
        <v>95</v>
      </c>
      <c r="G4" s="13">
        <f>+'Materiais e Equipamentos'!F77</f>
        <v>0</v>
      </c>
      <c r="H4" s="144">
        <f>+G4*E4</f>
        <v>0</v>
      </c>
      <c r="J4" s="4"/>
    </row>
    <row r="5" spans="1:14" ht="15.75" thickBot="1" x14ac:dyDescent="0.3">
      <c r="A5" s="5"/>
      <c r="B5" s="6"/>
      <c r="C5" s="6" t="s">
        <v>269</v>
      </c>
      <c r="D5" s="6"/>
      <c r="E5" s="6"/>
      <c r="F5" s="136"/>
      <c r="G5" s="6"/>
      <c r="H5" s="77">
        <f>SUM(H3:H4)</f>
        <v>250247.16375360521</v>
      </c>
      <c r="J5" s="4"/>
      <c r="N5" s="4"/>
    </row>
    <row r="6" spans="1:14" ht="16.5" thickTop="1" thickBot="1" x14ac:dyDescent="0.3">
      <c r="A6" s="5"/>
      <c r="B6" s="6"/>
      <c r="C6" s="6" t="s">
        <v>268</v>
      </c>
      <c r="D6" s="6"/>
      <c r="E6" s="6"/>
      <c r="F6" s="136"/>
      <c r="G6" s="6"/>
      <c r="H6" s="77">
        <f>+H5/12</f>
        <v>20853.930312800436</v>
      </c>
    </row>
    <row r="7" spans="1:14" ht="15.75" thickTop="1" x14ac:dyDescent="0.25">
      <c r="A7" s="76"/>
      <c r="B7" s="76"/>
    </row>
  </sheetData>
  <mergeCells count="1">
    <mergeCell ref="A1:H1"/>
  </mergeCells>
  <phoneticPr fontId="24" type="noConversion"/>
  <pageMargins left="0.511811024" right="0.511811024" top="0.78740157499999996" bottom="0.78740157499999996" header="0.31496062000000002" footer="0.31496062000000002"/>
  <pageSetup paperSize="9" scale="8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1540C-19EB-4A96-AF54-05AF2752B713}">
  <dimension ref="A1:I117"/>
  <sheetViews>
    <sheetView topLeftCell="A103" zoomScale="115" zoomScaleNormal="115" zoomScaleSheetLayoutView="100" workbookViewId="0">
      <selection activeCell="D117" sqref="D117:E117"/>
    </sheetView>
  </sheetViews>
  <sheetFormatPr defaultColWidth="9.140625" defaultRowHeight="12" customHeight="1" x14ac:dyDescent="0.25"/>
  <cols>
    <col min="1" max="1" width="3.140625" customWidth="1"/>
    <col min="2" max="2" width="55.42578125" customWidth="1"/>
    <col min="3" max="3" width="8.7109375" customWidth="1"/>
    <col min="4" max="4" width="12.7109375" customWidth="1"/>
    <col min="5" max="5" width="13.7109375" customWidth="1"/>
    <col min="7" max="7" width="5" customWidth="1"/>
    <col min="8" max="8" width="10.7109375" customWidth="1"/>
  </cols>
  <sheetData>
    <row r="1" spans="1:9" ht="12" customHeight="1" x14ac:dyDescent="0.25">
      <c r="A1" s="84"/>
      <c r="B1" s="204" t="s">
        <v>350</v>
      </c>
      <c r="C1" s="204"/>
      <c r="D1" s="204"/>
      <c r="E1" s="204"/>
      <c r="F1" s="84"/>
      <c r="G1" s="84"/>
      <c r="H1" s="84"/>
      <c r="I1" s="84"/>
    </row>
    <row r="2" spans="1:9" ht="12" customHeight="1" x14ac:dyDescent="0.25">
      <c r="A2" s="84"/>
      <c r="B2" s="205" t="s">
        <v>335</v>
      </c>
      <c r="C2" s="205"/>
      <c r="D2" s="205"/>
      <c r="E2" s="205"/>
      <c r="F2" s="84"/>
      <c r="G2" s="84"/>
      <c r="H2" s="84"/>
      <c r="I2" s="84"/>
    </row>
    <row r="3" spans="1:9" ht="12" customHeight="1" x14ac:dyDescent="0.25">
      <c r="A3" s="84"/>
      <c r="B3" s="206"/>
      <c r="C3" s="207"/>
      <c r="D3" s="207"/>
      <c r="E3" s="208"/>
      <c r="F3" s="84"/>
      <c r="G3" s="84"/>
      <c r="H3" s="84"/>
      <c r="I3" s="84"/>
    </row>
    <row r="4" spans="1:9" ht="12" customHeight="1" x14ac:dyDescent="0.25">
      <c r="A4" s="84"/>
      <c r="B4" s="209"/>
      <c r="C4" s="210"/>
      <c r="D4" s="210"/>
      <c r="E4" s="211"/>
      <c r="F4" s="84"/>
      <c r="G4" s="84"/>
      <c r="H4" s="84"/>
      <c r="I4" s="84"/>
    </row>
    <row r="5" spans="1:9" ht="12" customHeight="1" x14ac:dyDescent="0.25">
      <c r="A5" s="84"/>
      <c r="B5" s="209" t="s">
        <v>275</v>
      </c>
      <c r="C5" s="210"/>
      <c r="D5" s="210"/>
      <c r="E5" s="211"/>
      <c r="F5" s="84"/>
      <c r="G5" s="84"/>
      <c r="H5" s="84"/>
      <c r="I5" s="84"/>
    </row>
    <row r="6" spans="1:9" ht="12" customHeight="1" x14ac:dyDescent="0.25">
      <c r="A6" s="85" t="s">
        <v>28</v>
      </c>
      <c r="B6" s="86" t="s">
        <v>276</v>
      </c>
      <c r="C6" s="87"/>
      <c r="D6" s="212" t="s">
        <v>197</v>
      </c>
      <c r="E6" s="213"/>
      <c r="F6" s="84"/>
      <c r="G6" s="84"/>
      <c r="H6" s="84"/>
      <c r="I6" s="84"/>
    </row>
    <row r="7" spans="1:9" ht="12" customHeight="1" x14ac:dyDescent="0.25">
      <c r="A7" s="85" t="s">
        <v>31</v>
      </c>
      <c r="B7" s="214" t="s">
        <v>174</v>
      </c>
      <c r="C7" s="215"/>
      <c r="D7" s="218" t="s">
        <v>175</v>
      </c>
      <c r="E7" s="219"/>
      <c r="F7" s="84"/>
      <c r="G7" s="84"/>
      <c r="H7" s="84"/>
      <c r="I7" s="84"/>
    </row>
    <row r="8" spans="1:9" ht="12" customHeight="1" x14ac:dyDescent="0.25">
      <c r="A8" s="85" t="s">
        <v>34</v>
      </c>
      <c r="B8" s="88" t="s">
        <v>277</v>
      </c>
      <c r="C8" s="89"/>
      <c r="D8" s="218" t="s">
        <v>196</v>
      </c>
      <c r="E8" s="219"/>
      <c r="F8" s="84"/>
      <c r="G8" s="84"/>
      <c r="H8" s="84"/>
      <c r="I8" s="84"/>
    </row>
    <row r="9" spans="1:9" ht="12" customHeight="1" x14ac:dyDescent="0.25">
      <c r="A9" s="85" t="s">
        <v>36</v>
      </c>
      <c r="B9" s="214" t="s">
        <v>278</v>
      </c>
      <c r="C9" s="215"/>
      <c r="D9" s="220" t="s">
        <v>176</v>
      </c>
      <c r="E9" s="221"/>
      <c r="F9" s="84"/>
      <c r="G9" s="84"/>
      <c r="H9" s="84"/>
      <c r="I9" s="84"/>
    </row>
    <row r="10" spans="1:9" ht="12" customHeight="1" x14ac:dyDescent="0.25">
      <c r="A10" s="84"/>
      <c r="B10" s="231"/>
      <c r="C10" s="231"/>
      <c r="D10" s="231"/>
      <c r="E10" s="231"/>
      <c r="F10" s="84"/>
      <c r="G10" s="84"/>
      <c r="H10" s="84"/>
      <c r="I10" s="84"/>
    </row>
    <row r="11" spans="1:9" ht="12" customHeight="1" x14ac:dyDescent="0.25">
      <c r="A11" s="84"/>
      <c r="B11" s="232" t="s">
        <v>279</v>
      </c>
      <c r="C11" s="233"/>
      <c r="D11" s="233"/>
      <c r="E11" s="233"/>
      <c r="F11" s="90"/>
      <c r="G11" s="84"/>
      <c r="H11" s="84"/>
      <c r="I11" s="84"/>
    </row>
    <row r="12" spans="1:9" ht="12" customHeight="1" x14ac:dyDescent="0.25">
      <c r="A12" s="84"/>
      <c r="B12" s="91" t="s">
        <v>280</v>
      </c>
      <c r="C12" s="91" t="s">
        <v>281</v>
      </c>
      <c r="D12" s="91" t="s">
        <v>19</v>
      </c>
      <c r="E12" s="92" t="s">
        <v>282</v>
      </c>
      <c r="F12" s="84"/>
      <c r="G12" s="84"/>
      <c r="H12" s="84"/>
      <c r="I12" s="84"/>
    </row>
    <row r="13" spans="1:9" ht="12" customHeight="1" x14ac:dyDescent="0.25">
      <c r="A13" s="84"/>
      <c r="B13" s="234" t="s">
        <v>183</v>
      </c>
      <c r="C13" s="239" t="s">
        <v>184</v>
      </c>
      <c r="D13" s="241">
        <v>44562</v>
      </c>
      <c r="E13" s="234">
        <v>6</v>
      </c>
      <c r="F13" s="84"/>
      <c r="G13" s="84"/>
      <c r="H13" s="84"/>
      <c r="I13" s="84"/>
    </row>
    <row r="14" spans="1:9" ht="12" customHeight="1" x14ac:dyDescent="0.25">
      <c r="A14" s="84"/>
      <c r="B14" s="235"/>
      <c r="C14" s="240"/>
      <c r="D14" s="235"/>
      <c r="E14" s="235"/>
      <c r="F14" s="84"/>
      <c r="G14" s="84"/>
      <c r="H14" s="84"/>
      <c r="I14" s="84"/>
    </row>
    <row r="15" spans="1:9" ht="12" customHeight="1" x14ac:dyDescent="0.25">
      <c r="A15" s="84"/>
      <c r="B15" s="222" t="s">
        <v>283</v>
      </c>
      <c r="C15" s="223"/>
      <c r="D15" s="224">
        <v>1213.74</v>
      </c>
      <c r="E15" s="225"/>
      <c r="F15" s="84"/>
      <c r="G15" s="84"/>
      <c r="H15" s="84"/>
      <c r="I15" s="84"/>
    </row>
    <row r="16" spans="1:9" ht="12" customHeight="1" x14ac:dyDescent="0.25">
      <c r="A16" s="84"/>
      <c r="B16" s="226" t="s">
        <v>284</v>
      </c>
      <c r="C16" s="226"/>
      <c r="D16" s="226"/>
      <c r="E16" s="226"/>
      <c r="F16" s="84"/>
      <c r="G16" s="84"/>
      <c r="H16" s="84"/>
      <c r="I16" s="84"/>
    </row>
    <row r="17" spans="1:9" ht="12" customHeight="1" x14ac:dyDescent="0.25">
      <c r="A17" s="84"/>
      <c r="B17" s="226"/>
      <c r="C17" s="226"/>
      <c r="D17" s="226"/>
      <c r="E17" s="226"/>
      <c r="F17" s="84"/>
      <c r="G17" s="84"/>
      <c r="H17" s="84"/>
      <c r="I17" s="84"/>
    </row>
    <row r="18" spans="1:9" ht="12" customHeight="1" x14ac:dyDescent="0.25">
      <c r="A18" s="84"/>
      <c r="B18" s="227" t="s">
        <v>285</v>
      </c>
      <c r="C18" s="228"/>
      <c r="D18" s="229" t="s">
        <v>286</v>
      </c>
      <c r="E18" s="230"/>
      <c r="F18" s="84"/>
      <c r="G18" s="84"/>
      <c r="H18" s="84"/>
      <c r="I18" s="84"/>
    </row>
    <row r="19" spans="1:9" ht="12" customHeight="1" x14ac:dyDescent="0.25">
      <c r="A19" s="85" t="s">
        <v>28</v>
      </c>
      <c r="B19" s="242" t="s">
        <v>287</v>
      </c>
      <c r="C19" s="243"/>
      <c r="D19" s="244">
        <f>+D15</f>
        <v>1213.74</v>
      </c>
      <c r="E19" s="244"/>
      <c r="F19" s="84"/>
      <c r="G19" s="84"/>
      <c r="H19" s="84"/>
      <c r="I19" s="84"/>
    </row>
    <row r="20" spans="1:9" ht="12" customHeight="1" x14ac:dyDescent="0.25">
      <c r="A20" s="85" t="s">
        <v>31</v>
      </c>
      <c r="B20" s="242" t="s">
        <v>288</v>
      </c>
      <c r="C20" s="243"/>
      <c r="D20" s="216">
        <v>0</v>
      </c>
      <c r="E20" s="217"/>
      <c r="F20" s="84"/>
      <c r="G20" s="84"/>
      <c r="H20" s="84"/>
      <c r="I20" s="84"/>
    </row>
    <row r="21" spans="1:9" ht="12" customHeight="1" x14ac:dyDescent="0.25">
      <c r="A21" s="85" t="s">
        <v>34</v>
      </c>
      <c r="B21" s="242" t="s">
        <v>289</v>
      </c>
      <c r="C21" s="243"/>
      <c r="D21" s="216">
        <v>0</v>
      </c>
      <c r="E21" s="217"/>
      <c r="F21" s="84"/>
      <c r="G21" s="84"/>
      <c r="H21" s="84"/>
      <c r="I21" s="84"/>
    </row>
    <row r="22" spans="1:9" ht="12" customHeight="1" x14ac:dyDescent="0.25">
      <c r="A22" s="85" t="s">
        <v>36</v>
      </c>
      <c r="B22" s="242" t="s">
        <v>290</v>
      </c>
      <c r="C22" s="243"/>
      <c r="D22" s="216">
        <v>0</v>
      </c>
      <c r="E22" s="217"/>
      <c r="F22" s="84"/>
      <c r="G22" s="84"/>
      <c r="H22" s="84"/>
      <c r="I22" s="84"/>
    </row>
    <row r="23" spans="1:9" ht="12" customHeight="1" x14ac:dyDescent="0.25">
      <c r="A23" s="85" t="s">
        <v>39</v>
      </c>
      <c r="B23" s="242" t="s">
        <v>40</v>
      </c>
      <c r="C23" s="243"/>
      <c r="D23" s="216">
        <v>0</v>
      </c>
      <c r="E23" s="217"/>
      <c r="F23" s="84"/>
      <c r="G23" s="84"/>
      <c r="H23" s="84"/>
      <c r="I23" s="84"/>
    </row>
    <row r="24" spans="1:9" ht="12" customHeight="1" x14ac:dyDescent="0.25">
      <c r="A24" s="85" t="s">
        <v>41</v>
      </c>
      <c r="B24" s="242" t="s">
        <v>42</v>
      </c>
      <c r="C24" s="243"/>
      <c r="D24" s="216">
        <v>0</v>
      </c>
      <c r="E24" s="217"/>
      <c r="F24" s="84"/>
      <c r="G24" s="84"/>
      <c r="H24" s="84"/>
      <c r="I24" s="84"/>
    </row>
    <row r="25" spans="1:9" ht="12" customHeight="1" x14ac:dyDescent="0.25">
      <c r="A25" s="84"/>
      <c r="B25" s="93" t="s">
        <v>291</v>
      </c>
      <c r="C25" s="94"/>
      <c r="D25" s="236">
        <f>SUM(D19:E24)</f>
        <v>1213.74</v>
      </c>
      <c r="E25" s="237"/>
      <c r="F25" s="84"/>
      <c r="G25" s="95"/>
      <c r="H25" s="95"/>
      <c r="I25" s="95"/>
    </row>
    <row r="26" spans="1:9" ht="12" customHeight="1" x14ac:dyDescent="0.25">
      <c r="A26" s="84"/>
      <c r="B26" s="226" t="s">
        <v>292</v>
      </c>
      <c r="C26" s="226"/>
      <c r="D26" s="226"/>
      <c r="E26" s="226"/>
      <c r="F26" s="84"/>
      <c r="G26" s="84"/>
      <c r="H26" s="84"/>
      <c r="I26" s="84"/>
    </row>
    <row r="27" spans="1:9" ht="12" customHeight="1" x14ac:dyDescent="0.25">
      <c r="A27" s="84"/>
      <c r="B27" s="226"/>
      <c r="C27" s="226"/>
      <c r="D27" s="226"/>
      <c r="E27" s="226"/>
      <c r="F27" s="84"/>
      <c r="G27" s="84"/>
      <c r="H27" s="84"/>
      <c r="I27" s="84"/>
    </row>
    <row r="28" spans="1:9" ht="12" customHeight="1" x14ac:dyDescent="0.25">
      <c r="A28" s="84"/>
      <c r="B28" s="226" t="s">
        <v>293</v>
      </c>
      <c r="C28" s="226"/>
      <c r="D28" s="226"/>
      <c r="E28" s="226"/>
      <c r="F28" s="84"/>
      <c r="G28" s="84"/>
      <c r="H28" s="84"/>
      <c r="I28" s="84"/>
    </row>
    <row r="29" spans="1:9" ht="12" customHeight="1" x14ac:dyDescent="0.25">
      <c r="A29" s="84"/>
      <c r="B29" s="88" t="s">
        <v>294</v>
      </c>
      <c r="C29" s="89"/>
      <c r="D29" s="229" t="s">
        <v>286</v>
      </c>
      <c r="E29" s="230"/>
      <c r="F29" s="84"/>
      <c r="G29" s="84"/>
      <c r="H29" s="95"/>
      <c r="I29" s="95"/>
    </row>
    <row r="30" spans="1:9" ht="12" customHeight="1" x14ac:dyDescent="0.25">
      <c r="A30" s="85" t="s">
        <v>28</v>
      </c>
      <c r="B30" s="96" t="s">
        <v>53</v>
      </c>
      <c r="C30" s="97">
        <v>8.3299999999999999E-2</v>
      </c>
      <c r="D30" s="238">
        <f>(D25*C30)</f>
        <v>101.104542</v>
      </c>
      <c r="E30" s="237"/>
      <c r="F30" s="84"/>
      <c r="G30" s="95"/>
      <c r="H30" s="95"/>
      <c r="I30" s="84"/>
    </row>
    <row r="31" spans="1:9" ht="12" customHeight="1" x14ac:dyDescent="0.25">
      <c r="A31" s="85" t="s">
        <v>31</v>
      </c>
      <c r="B31" s="98" t="s">
        <v>179</v>
      </c>
      <c r="C31" s="97">
        <v>0.1111</v>
      </c>
      <c r="D31" s="238">
        <f xml:space="preserve"> (D25*C31)</f>
        <v>134.84651400000001</v>
      </c>
      <c r="E31" s="245"/>
      <c r="F31" s="84"/>
      <c r="G31" s="84"/>
      <c r="H31" s="95"/>
      <c r="I31" s="95"/>
    </row>
    <row r="32" spans="1:9" ht="12" customHeight="1" x14ac:dyDescent="0.25">
      <c r="A32" s="84"/>
      <c r="B32" s="93" t="s">
        <v>291</v>
      </c>
      <c r="C32" s="99">
        <f>SUM(C30:C31)</f>
        <v>0.19440000000000002</v>
      </c>
      <c r="D32" s="236">
        <f>SUM(D30:E31)</f>
        <v>235.95105599999999</v>
      </c>
      <c r="E32" s="237"/>
      <c r="F32" s="84"/>
      <c r="G32" s="84"/>
      <c r="H32" s="84"/>
      <c r="I32" s="84"/>
    </row>
    <row r="33" spans="1:9" ht="12" customHeight="1" x14ac:dyDescent="0.25">
      <c r="A33" s="84"/>
      <c r="B33" s="246" t="s">
        <v>295</v>
      </c>
      <c r="C33" s="246"/>
      <c r="D33" s="246"/>
      <c r="E33" s="246"/>
      <c r="F33" s="84"/>
      <c r="G33" s="84"/>
      <c r="H33" s="84"/>
      <c r="I33" s="84"/>
    </row>
    <row r="34" spans="1:9" ht="12" customHeight="1" x14ac:dyDescent="0.25">
      <c r="A34" s="84"/>
      <c r="B34" s="88" t="s">
        <v>296</v>
      </c>
      <c r="C34" s="89"/>
      <c r="D34" s="229" t="s">
        <v>286</v>
      </c>
      <c r="E34" s="230"/>
      <c r="F34" s="84"/>
      <c r="G34" s="84"/>
      <c r="H34" s="84"/>
      <c r="I34" s="84"/>
    </row>
    <row r="35" spans="1:9" ht="12" customHeight="1" x14ac:dyDescent="0.25">
      <c r="A35" s="85" t="s">
        <v>28</v>
      </c>
      <c r="B35" s="100" t="s">
        <v>70</v>
      </c>
      <c r="C35" s="97">
        <v>0.2</v>
      </c>
      <c r="D35" s="238">
        <f>(C35*($D$25+$D$32))</f>
        <v>289.93821120000001</v>
      </c>
      <c r="E35" s="245"/>
      <c r="F35" s="84"/>
      <c r="G35" s="84"/>
      <c r="H35" s="84"/>
      <c r="I35" s="84"/>
    </row>
    <row r="36" spans="1:9" ht="12" customHeight="1" x14ac:dyDescent="0.25">
      <c r="A36" s="85" t="s">
        <v>31</v>
      </c>
      <c r="B36" s="100" t="s">
        <v>297</v>
      </c>
      <c r="C36" s="97">
        <v>1.4999999999999999E-2</v>
      </c>
      <c r="D36" s="238">
        <f>(C36*($D$25+$D$32))</f>
        <v>21.745365840000002</v>
      </c>
      <c r="E36" s="245"/>
      <c r="F36" s="84"/>
      <c r="G36" s="84"/>
      <c r="H36" s="84"/>
      <c r="I36" s="84"/>
    </row>
    <row r="37" spans="1:9" ht="12" customHeight="1" x14ac:dyDescent="0.25">
      <c r="A37" s="85" t="s">
        <v>34</v>
      </c>
      <c r="B37" s="100" t="s">
        <v>298</v>
      </c>
      <c r="C37" s="97">
        <v>0.01</v>
      </c>
      <c r="D37" s="238">
        <f>(C37*($D$25+$D$32))</f>
        <v>14.496910560000002</v>
      </c>
      <c r="E37" s="245"/>
    </row>
    <row r="38" spans="1:9" ht="12" customHeight="1" x14ac:dyDescent="0.25">
      <c r="A38" s="85" t="s">
        <v>36</v>
      </c>
      <c r="B38" s="100" t="s">
        <v>77</v>
      </c>
      <c r="C38" s="97">
        <v>2E-3</v>
      </c>
      <c r="D38" s="238">
        <f>(C38*($D$25+$D$32))</f>
        <v>2.8993821120000005</v>
      </c>
      <c r="E38" s="245"/>
    </row>
    <row r="39" spans="1:9" ht="12" customHeight="1" x14ac:dyDescent="0.25">
      <c r="A39" s="85" t="s">
        <v>39</v>
      </c>
      <c r="B39" s="100" t="s">
        <v>71</v>
      </c>
      <c r="C39" s="97">
        <v>2.5000000000000001E-2</v>
      </c>
      <c r="D39" s="238">
        <f t="shared" ref="D39:D42" si="0">(C39*($D$25+$D$32))</f>
        <v>36.242276400000002</v>
      </c>
      <c r="E39" s="245"/>
      <c r="F39" s="84"/>
      <c r="G39" s="84"/>
      <c r="H39" s="84"/>
      <c r="I39" s="84"/>
    </row>
    <row r="40" spans="1:9" ht="12" customHeight="1" x14ac:dyDescent="0.25">
      <c r="A40" s="85" t="s">
        <v>41</v>
      </c>
      <c r="B40" s="100" t="s">
        <v>79</v>
      </c>
      <c r="C40" s="97">
        <v>0.08</v>
      </c>
      <c r="D40" s="238">
        <f t="shared" si="0"/>
        <v>115.97528448000001</v>
      </c>
      <c r="E40" s="245"/>
      <c r="F40" s="84"/>
      <c r="G40" s="84"/>
      <c r="H40" s="84"/>
      <c r="I40" s="84"/>
    </row>
    <row r="41" spans="1:9" ht="12" customHeight="1" x14ac:dyDescent="0.25">
      <c r="A41" s="85" t="s">
        <v>76</v>
      </c>
      <c r="B41" s="101" t="s">
        <v>299</v>
      </c>
      <c r="C41" s="102">
        <v>0.06</v>
      </c>
      <c r="D41" s="238">
        <f t="shared" si="0"/>
        <v>86.981463360000006</v>
      </c>
      <c r="E41" s="245"/>
      <c r="F41" s="84"/>
      <c r="G41" s="84"/>
      <c r="H41" s="84"/>
      <c r="I41" s="84"/>
    </row>
    <row r="42" spans="1:9" ht="12" customHeight="1" x14ac:dyDescent="0.25">
      <c r="A42" s="85" t="s">
        <v>78</v>
      </c>
      <c r="B42" s="100" t="s">
        <v>75</v>
      </c>
      <c r="C42" s="97">
        <v>6.0000000000000001E-3</v>
      </c>
      <c r="D42" s="238">
        <f t="shared" si="0"/>
        <v>8.6981463360000006</v>
      </c>
      <c r="E42" s="245"/>
      <c r="F42" s="84"/>
      <c r="G42" s="84"/>
      <c r="H42" s="84"/>
      <c r="I42" s="84"/>
    </row>
    <row r="43" spans="1:9" ht="12" customHeight="1" x14ac:dyDescent="0.25">
      <c r="A43" s="84"/>
      <c r="B43" s="93" t="s">
        <v>291</v>
      </c>
      <c r="C43" s="99">
        <f>SUM(C35:C42)</f>
        <v>0.39800000000000008</v>
      </c>
      <c r="D43" s="236">
        <f>SUM(D35:E42)</f>
        <v>576.97704028800001</v>
      </c>
      <c r="E43" s="237"/>
    </row>
    <row r="44" spans="1:9" ht="12" customHeight="1" x14ac:dyDescent="0.25">
      <c r="A44" s="84"/>
      <c r="B44" s="226" t="s">
        <v>300</v>
      </c>
      <c r="C44" s="226"/>
      <c r="D44" s="226"/>
      <c r="E44" s="226"/>
      <c r="F44" s="84"/>
      <c r="G44" s="84"/>
      <c r="H44" s="84"/>
      <c r="I44" s="84"/>
    </row>
    <row r="45" spans="1:9" ht="12" customHeight="1" x14ac:dyDescent="0.25">
      <c r="A45" s="84"/>
      <c r="B45" s="88" t="s">
        <v>301</v>
      </c>
      <c r="C45" s="89"/>
      <c r="D45" s="229" t="s">
        <v>286</v>
      </c>
      <c r="E45" s="230"/>
      <c r="F45" s="84"/>
      <c r="G45" s="104" t="s">
        <v>302</v>
      </c>
      <c r="H45" s="104" t="s">
        <v>303</v>
      </c>
      <c r="I45" s="104" t="s">
        <v>304</v>
      </c>
    </row>
    <row r="46" spans="1:9" ht="12" customHeight="1" x14ac:dyDescent="0.25">
      <c r="A46" s="85" t="s">
        <v>28</v>
      </c>
      <c r="B46" s="96" t="s">
        <v>87</v>
      </c>
      <c r="C46" s="103"/>
      <c r="D46" s="216">
        <v>0</v>
      </c>
      <c r="E46" s="217"/>
      <c r="F46" s="84"/>
      <c r="G46" s="106"/>
      <c r="H46" s="107"/>
      <c r="I46" s="108"/>
    </row>
    <row r="47" spans="1:9" ht="12" customHeight="1" x14ac:dyDescent="0.25">
      <c r="A47" s="85" t="s">
        <v>31</v>
      </c>
      <c r="B47" s="96" t="s">
        <v>88</v>
      </c>
      <c r="C47" s="103"/>
      <c r="D47" s="216">
        <f>+I50</f>
        <v>368.01600000000002</v>
      </c>
      <c r="E47" s="217"/>
      <c r="F47" s="105"/>
    </row>
    <row r="48" spans="1:9" ht="12" customHeight="1" x14ac:dyDescent="0.25">
      <c r="A48" s="85" t="s">
        <v>34</v>
      </c>
      <c r="B48" s="109" t="s">
        <v>336</v>
      </c>
      <c r="C48" s="103"/>
      <c r="D48" s="216">
        <v>0</v>
      </c>
      <c r="E48" s="217"/>
      <c r="F48" s="105"/>
      <c r="G48" s="201" t="s">
        <v>305</v>
      </c>
      <c r="H48" s="202"/>
      <c r="I48" s="203"/>
    </row>
    <row r="49" spans="1:9" ht="12" customHeight="1" x14ac:dyDescent="0.25">
      <c r="A49" s="85" t="s">
        <v>36</v>
      </c>
      <c r="B49" s="109" t="s">
        <v>92</v>
      </c>
      <c r="C49" s="103"/>
      <c r="D49" s="216">
        <v>20</v>
      </c>
      <c r="E49" s="217"/>
      <c r="F49" s="105"/>
      <c r="G49" s="106" t="s">
        <v>302</v>
      </c>
      <c r="H49" s="106" t="s">
        <v>306</v>
      </c>
      <c r="I49" s="106" t="s">
        <v>304</v>
      </c>
    </row>
    <row r="50" spans="1:9" ht="12" customHeight="1" x14ac:dyDescent="0.25">
      <c r="A50" s="85" t="s">
        <v>39</v>
      </c>
      <c r="B50" s="109" t="s">
        <v>337</v>
      </c>
      <c r="C50" s="103"/>
      <c r="D50" s="216">
        <v>5</v>
      </c>
      <c r="E50" s="217"/>
      <c r="F50" s="105"/>
      <c r="G50" s="106">
        <v>22</v>
      </c>
      <c r="H50" s="111">
        <v>20.91</v>
      </c>
      <c r="I50" s="108">
        <f>+H50*G50*80%</f>
        <v>368.01600000000002</v>
      </c>
    </row>
    <row r="51" spans="1:9" ht="12" customHeight="1" x14ac:dyDescent="0.25">
      <c r="A51" s="150" t="s">
        <v>41</v>
      </c>
      <c r="B51" s="109" t="s">
        <v>347</v>
      </c>
      <c r="C51" s="103"/>
      <c r="D51" s="216">
        <v>40</v>
      </c>
      <c r="E51" s="217"/>
      <c r="F51" s="105"/>
    </row>
    <row r="52" spans="1:9" ht="12" customHeight="1" x14ac:dyDescent="0.25">
      <c r="A52" s="84"/>
      <c r="B52" s="93" t="s">
        <v>180</v>
      </c>
      <c r="C52" s="110"/>
      <c r="D52" s="247">
        <f>SUM(D46:E51)</f>
        <v>433.01600000000002</v>
      </c>
      <c r="E52" s="247"/>
      <c r="F52" s="105"/>
    </row>
    <row r="53" spans="1:9" ht="12" customHeight="1" x14ac:dyDescent="0.25">
      <c r="A53" s="84"/>
      <c r="B53" s="226" t="s">
        <v>98</v>
      </c>
      <c r="C53" s="226"/>
      <c r="D53" s="226"/>
      <c r="E53" s="226"/>
      <c r="F53" s="105"/>
      <c r="G53" s="84"/>
      <c r="H53" s="84"/>
      <c r="I53" s="84"/>
    </row>
    <row r="54" spans="1:9" ht="12" customHeight="1" x14ac:dyDescent="0.25">
      <c r="A54" s="84"/>
      <c r="B54" s="86" t="s">
        <v>307</v>
      </c>
      <c r="C54" s="112"/>
      <c r="D54" s="229" t="s">
        <v>286</v>
      </c>
      <c r="E54" s="230"/>
      <c r="F54" s="105"/>
      <c r="G54" s="84"/>
      <c r="H54" s="84"/>
      <c r="I54" s="84"/>
    </row>
    <row r="55" spans="1:9" ht="12" customHeight="1" x14ac:dyDescent="0.25">
      <c r="A55" s="85" t="s">
        <v>51</v>
      </c>
      <c r="B55" s="248" t="s">
        <v>178</v>
      </c>
      <c r="C55" s="249"/>
      <c r="D55" s="216">
        <f>+D32</f>
        <v>235.95105599999999</v>
      </c>
      <c r="E55" s="217"/>
      <c r="F55" s="84"/>
      <c r="G55" s="84"/>
      <c r="H55" s="84"/>
      <c r="I55" s="84"/>
    </row>
    <row r="56" spans="1:9" ht="12" customHeight="1" x14ac:dyDescent="0.25">
      <c r="A56" s="85" t="s">
        <v>67</v>
      </c>
      <c r="B56" s="248" t="s">
        <v>68</v>
      </c>
      <c r="C56" s="249"/>
      <c r="D56" s="216">
        <f>+D43</f>
        <v>576.97704028800001</v>
      </c>
      <c r="E56" s="217"/>
      <c r="F56" s="84"/>
      <c r="G56" s="84"/>
      <c r="H56" s="84"/>
      <c r="I56" s="84"/>
    </row>
    <row r="57" spans="1:9" ht="12" customHeight="1" x14ac:dyDescent="0.25">
      <c r="A57" s="85" t="s">
        <v>85</v>
      </c>
      <c r="B57" s="248" t="s">
        <v>86</v>
      </c>
      <c r="C57" s="249"/>
      <c r="D57" s="216">
        <f>+D52</f>
        <v>433.01600000000002</v>
      </c>
      <c r="E57" s="217"/>
      <c r="F57" s="84"/>
      <c r="G57" s="84"/>
      <c r="H57" s="84"/>
      <c r="I57" s="84"/>
    </row>
    <row r="58" spans="1:9" ht="12" customHeight="1" x14ac:dyDescent="0.25">
      <c r="A58" s="84"/>
      <c r="B58" s="250" t="s">
        <v>291</v>
      </c>
      <c r="C58" s="251"/>
      <c r="D58" s="247">
        <f>SUM(D55:E57)</f>
        <v>1245.9440962880001</v>
      </c>
      <c r="E58" s="247"/>
      <c r="F58" s="84"/>
      <c r="G58" s="84"/>
      <c r="H58" s="84"/>
      <c r="I58" s="84"/>
    </row>
    <row r="59" spans="1:9" ht="12" customHeight="1" x14ac:dyDescent="0.25">
      <c r="A59" s="84"/>
      <c r="B59" s="222" t="s">
        <v>308</v>
      </c>
      <c r="C59" s="223"/>
      <c r="D59" s="223"/>
      <c r="E59" s="252"/>
      <c r="F59" s="84"/>
      <c r="G59" s="84"/>
      <c r="H59" s="84"/>
      <c r="I59" s="84"/>
    </row>
    <row r="60" spans="1:9" ht="12" customHeight="1" x14ac:dyDescent="0.25">
      <c r="B60" s="253"/>
      <c r="C60" s="254"/>
      <c r="D60" s="254"/>
      <c r="E60" s="255"/>
      <c r="F60" s="84"/>
      <c r="G60" s="84"/>
      <c r="H60" s="84"/>
      <c r="I60" s="84"/>
    </row>
    <row r="61" spans="1:9" ht="12" customHeight="1" x14ac:dyDescent="0.25">
      <c r="A61" s="84"/>
      <c r="B61" s="86" t="s">
        <v>309</v>
      </c>
      <c r="C61" s="112"/>
      <c r="D61" s="229" t="s">
        <v>286</v>
      </c>
      <c r="E61" s="230"/>
      <c r="F61" s="113"/>
      <c r="G61" s="113"/>
      <c r="H61" s="113"/>
      <c r="I61" s="113"/>
    </row>
    <row r="62" spans="1:9" ht="12" customHeight="1" x14ac:dyDescent="0.25">
      <c r="A62" s="85" t="s">
        <v>28</v>
      </c>
      <c r="B62" s="114" t="s">
        <v>104</v>
      </c>
      <c r="C62" s="115">
        <v>4.1999999999999997E-3</v>
      </c>
      <c r="D62" s="238">
        <f t="shared" ref="D62:D67" si="1">C62*$D$25</f>
        <v>5.0977079999999999</v>
      </c>
      <c r="E62" s="237"/>
      <c r="F62" s="84"/>
      <c r="G62" s="84"/>
      <c r="H62" s="84"/>
      <c r="I62" s="84"/>
    </row>
    <row r="63" spans="1:9" ht="12" customHeight="1" x14ac:dyDescent="0.25">
      <c r="A63" s="85" t="s">
        <v>31</v>
      </c>
      <c r="B63" s="114" t="s">
        <v>310</v>
      </c>
      <c r="C63" s="116">
        <f>C62*C40</f>
        <v>3.3599999999999998E-4</v>
      </c>
      <c r="D63" s="238">
        <f t="shared" si="1"/>
        <v>0.40781664000000001</v>
      </c>
      <c r="E63" s="237"/>
      <c r="F63" s="84"/>
      <c r="G63" s="84"/>
      <c r="H63" s="84"/>
      <c r="I63" s="84"/>
    </row>
    <row r="64" spans="1:9" ht="12" customHeight="1" x14ac:dyDescent="0.25">
      <c r="A64" s="85" t="s">
        <v>34</v>
      </c>
      <c r="B64" s="114" t="s">
        <v>311</v>
      </c>
      <c r="C64" s="117">
        <v>1.6000000000000001E-3</v>
      </c>
      <c r="D64" s="238">
        <f t="shared" si="1"/>
        <v>1.9419840000000002</v>
      </c>
      <c r="E64" s="237"/>
      <c r="F64" s="84"/>
      <c r="G64" s="84"/>
      <c r="H64" s="84"/>
      <c r="I64" s="84"/>
    </row>
    <row r="65" spans="1:9" ht="12" customHeight="1" x14ac:dyDescent="0.25">
      <c r="A65" s="85" t="s">
        <v>36</v>
      </c>
      <c r="B65" s="114" t="s">
        <v>312</v>
      </c>
      <c r="C65" s="117">
        <v>1.8499999999999999E-2</v>
      </c>
      <c r="D65" s="238">
        <f t="shared" si="1"/>
        <v>22.454190000000001</v>
      </c>
      <c r="E65" s="237"/>
      <c r="F65" s="84"/>
      <c r="G65" s="84"/>
      <c r="H65" s="118"/>
      <c r="I65" s="84"/>
    </row>
    <row r="66" spans="1:9" ht="12" customHeight="1" x14ac:dyDescent="0.25">
      <c r="A66" s="85" t="s">
        <v>39</v>
      </c>
      <c r="B66" s="114" t="s">
        <v>181</v>
      </c>
      <c r="C66" s="116">
        <f>C65*C43</f>
        <v>7.3630000000000006E-3</v>
      </c>
      <c r="D66" s="238">
        <f>C66*$D$25</f>
        <v>8.9367676200000012</v>
      </c>
      <c r="E66" s="237"/>
      <c r="F66" s="84"/>
      <c r="G66" s="84"/>
      <c r="H66" s="84"/>
      <c r="I66" s="84"/>
    </row>
    <row r="67" spans="1:9" ht="12" customHeight="1" x14ac:dyDescent="0.25">
      <c r="A67" s="85" t="s">
        <v>41</v>
      </c>
      <c r="B67" s="114" t="s">
        <v>108</v>
      </c>
      <c r="C67" s="117">
        <v>3.04E-2</v>
      </c>
      <c r="D67" s="238">
        <f t="shared" si="1"/>
        <v>36.897696000000003</v>
      </c>
      <c r="E67" s="237"/>
      <c r="F67" s="84"/>
      <c r="G67" s="84"/>
      <c r="H67" s="84"/>
      <c r="I67" s="84"/>
    </row>
    <row r="68" spans="1:9" ht="12" customHeight="1" x14ac:dyDescent="0.25">
      <c r="A68" s="84"/>
      <c r="B68" s="119" t="s">
        <v>180</v>
      </c>
      <c r="C68" s="120">
        <f>TRUNC(SUM(C62:C67),8)</f>
        <v>6.2399000000000003E-2</v>
      </c>
      <c r="D68" s="236">
        <f>SUM(D62:E67)</f>
        <v>75.736162260000015</v>
      </c>
      <c r="E68" s="237"/>
      <c r="F68" s="84"/>
      <c r="G68" s="84"/>
      <c r="H68" s="84"/>
      <c r="I68" s="84"/>
    </row>
    <row r="69" spans="1:9" ht="12" customHeight="1" x14ac:dyDescent="0.25">
      <c r="A69" s="84"/>
      <c r="B69" s="222" t="s">
        <v>313</v>
      </c>
      <c r="C69" s="223"/>
      <c r="D69" s="223"/>
      <c r="E69" s="252"/>
      <c r="F69" s="84"/>
      <c r="G69" s="84"/>
      <c r="H69" s="84"/>
      <c r="I69" s="84"/>
    </row>
    <row r="70" spans="1:9" ht="12" customHeight="1" x14ac:dyDescent="0.25">
      <c r="A70" s="84"/>
      <c r="B70" s="222"/>
      <c r="C70" s="223"/>
      <c r="D70" s="223"/>
      <c r="E70" s="252"/>
      <c r="F70" s="84"/>
      <c r="G70" s="84"/>
      <c r="H70" s="84"/>
      <c r="I70" s="84"/>
    </row>
    <row r="71" spans="1:9" ht="12" customHeight="1" x14ac:dyDescent="0.25">
      <c r="A71" s="84"/>
      <c r="B71" s="222" t="s">
        <v>121</v>
      </c>
      <c r="C71" s="223"/>
      <c r="D71" s="223"/>
      <c r="E71" s="252"/>
      <c r="F71" s="84"/>
      <c r="G71" s="84"/>
      <c r="H71" s="84"/>
      <c r="I71" s="84"/>
    </row>
    <row r="72" spans="1:9" ht="12" customHeight="1" x14ac:dyDescent="0.25">
      <c r="A72" s="84"/>
      <c r="B72" s="86" t="s">
        <v>314</v>
      </c>
      <c r="C72" s="112"/>
      <c r="D72" s="229" t="s">
        <v>286</v>
      </c>
      <c r="E72" s="230"/>
      <c r="F72" s="105"/>
      <c r="G72" s="84"/>
      <c r="H72" s="105"/>
      <c r="I72" s="84"/>
    </row>
    <row r="73" spans="1:9" ht="12" customHeight="1" x14ac:dyDescent="0.25">
      <c r="A73" s="85" t="s">
        <v>28</v>
      </c>
      <c r="B73" s="121" t="s">
        <v>125</v>
      </c>
      <c r="C73" s="116">
        <v>1.6203700000000001E-2</v>
      </c>
      <c r="D73" s="238">
        <f>C73*(D68+D58+D25)</f>
        <v>41.083189243434227</v>
      </c>
      <c r="E73" s="237"/>
      <c r="F73" s="84"/>
      <c r="G73" s="84"/>
      <c r="H73" s="105"/>
      <c r="I73" s="84"/>
    </row>
    <row r="74" spans="1:9" ht="12" customHeight="1" x14ac:dyDescent="0.25">
      <c r="A74" s="85" t="s">
        <v>31</v>
      </c>
      <c r="B74" s="121" t="s">
        <v>126</v>
      </c>
      <c r="C74" s="115">
        <v>5.5555999999999999E-3</v>
      </c>
      <c r="D74" s="238">
        <f>C74*(D68+D58+D25)</f>
        <v>14.085780788389267</v>
      </c>
      <c r="E74" s="237"/>
      <c r="F74" s="84"/>
      <c r="G74" s="84"/>
      <c r="H74" s="105"/>
      <c r="I74" s="84"/>
    </row>
    <row r="75" spans="1:9" ht="12" customHeight="1" x14ac:dyDescent="0.25">
      <c r="A75" s="85" t="s">
        <v>34</v>
      </c>
      <c r="B75" s="121" t="s">
        <v>127</v>
      </c>
      <c r="C75" s="115">
        <v>2.7779999999999998E-4</v>
      </c>
      <c r="D75" s="238">
        <f>C75*(D68+D58+D25)</f>
        <v>0.70433974782463427</v>
      </c>
      <c r="E75" s="237"/>
      <c r="F75" s="84"/>
      <c r="G75" s="84"/>
      <c r="H75" s="105"/>
      <c r="I75" s="84"/>
    </row>
    <row r="76" spans="1:9" ht="12" customHeight="1" x14ac:dyDescent="0.25">
      <c r="A76" s="85" t="s">
        <v>36</v>
      </c>
      <c r="B76" s="121" t="s">
        <v>128</v>
      </c>
      <c r="C76" s="115">
        <v>3.3333E-3</v>
      </c>
      <c r="D76" s="238">
        <f>C76*(D68+D58+D25)</f>
        <v>8.4513163478180484</v>
      </c>
      <c r="E76" s="237"/>
      <c r="F76" s="84"/>
      <c r="G76" s="84"/>
      <c r="H76" s="105"/>
      <c r="I76" s="84"/>
    </row>
    <row r="77" spans="1:9" ht="12" customHeight="1" x14ac:dyDescent="0.25">
      <c r="A77" s="85" t="s">
        <v>39</v>
      </c>
      <c r="B77" s="121" t="s">
        <v>129</v>
      </c>
      <c r="C77" s="115">
        <v>1.1111000000000001E-3</v>
      </c>
      <c r="D77" s="238">
        <f>C77*(D68+D58+D25)</f>
        <v>2.8171054492726828</v>
      </c>
      <c r="E77" s="237"/>
      <c r="F77" s="84"/>
      <c r="G77" s="84"/>
      <c r="H77" s="105"/>
      <c r="I77" s="84"/>
    </row>
    <row r="78" spans="1:9" ht="12" customHeight="1" x14ac:dyDescent="0.25">
      <c r="A78" s="85" t="s">
        <v>41</v>
      </c>
      <c r="B78" s="121" t="s">
        <v>182</v>
      </c>
      <c r="C78" s="115">
        <v>0</v>
      </c>
      <c r="D78" s="238">
        <f t="shared" ref="D78" si="2">C78*$D$25</f>
        <v>0</v>
      </c>
      <c r="E78" s="237"/>
      <c r="F78" s="84"/>
      <c r="G78" s="84"/>
      <c r="H78" s="105"/>
      <c r="I78" s="84"/>
    </row>
    <row r="79" spans="1:9" ht="12" customHeight="1" x14ac:dyDescent="0.25">
      <c r="A79" s="84"/>
      <c r="B79" s="119" t="s">
        <v>291</v>
      </c>
      <c r="C79" s="122">
        <f>SUM(C73:C78)</f>
        <v>2.6481500000000005E-2</v>
      </c>
      <c r="D79" s="236">
        <f>SUM(D73:E78)</f>
        <v>67.141731576738863</v>
      </c>
      <c r="E79" s="237"/>
      <c r="F79" s="84"/>
      <c r="G79" s="84"/>
      <c r="H79" s="105"/>
      <c r="I79" s="84"/>
    </row>
    <row r="80" spans="1:9" ht="12" customHeight="1" x14ac:dyDescent="0.25">
      <c r="A80" s="84"/>
      <c r="B80" s="253"/>
      <c r="C80" s="254"/>
      <c r="D80" s="254"/>
      <c r="E80" s="255"/>
      <c r="F80" s="84"/>
      <c r="G80" s="84"/>
      <c r="H80" s="105"/>
      <c r="I80" s="84"/>
    </row>
    <row r="81" spans="1:9" ht="12" customHeight="1" x14ac:dyDescent="0.25">
      <c r="A81" s="84"/>
      <c r="B81" s="86" t="s">
        <v>315</v>
      </c>
      <c r="C81" s="112"/>
      <c r="D81" s="229" t="s">
        <v>286</v>
      </c>
      <c r="E81" s="230"/>
      <c r="F81" s="84"/>
      <c r="G81" s="84"/>
      <c r="H81" s="84"/>
      <c r="I81" s="84"/>
    </row>
    <row r="82" spans="1:9" ht="12" customHeight="1" x14ac:dyDescent="0.25">
      <c r="A82" s="85" t="s">
        <v>28</v>
      </c>
      <c r="B82" s="123" t="s">
        <v>143</v>
      </c>
      <c r="C82" s="115">
        <v>0</v>
      </c>
      <c r="D82" s="258">
        <f>TRUNC(C82*$D$25,2)</f>
        <v>0</v>
      </c>
      <c r="E82" s="259"/>
      <c r="F82" s="84"/>
      <c r="G82" s="84"/>
      <c r="H82" s="84"/>
      <c r="I82" s="84"/>
    </row>
    <row r="83" spans="1:9" ht="12" customHeight="1" x14ac:dyDescent="0.25">
      <c r="A83" s="84"/>
      <c r="B83" s="119" t="s">
        <v>291</v>
      </c>
      <c r="C83" s="122">
        <f>SUM(C82:C82)</f>
        <v>0</v>
      </c>
      <c r="D83" s="236">
        <f>SUM(D82:E82)</f>
        <v>0</v>
      </c>
      <c r="E83" s="237"/>
      <c r="F83" s="84"/>
      <c r="G83" s="84"/>
      <c r="H83" s="84"/>
      <c r="I83" s="84"/>
    </row>
    <row r="84" spans="1:9" ht="12" customHeight="1" x14ac:dyDescent="0.25">
      <c r="A84" s="84"/>
      <c r="B84" s="222" t="s">
        <v>144</v>
      </c>
      <c r="C84" s="223"/>
      <c r="D84" s="223"/>
      <c r="E84" s="252"/>
      <c r="F84" s="84"/>
      <c r="G84" s="84"/>
      <c r="H84" s="84"/>
      <c r="I84" s="84"/>
    </row>
    <row r="85" spans="1:9" ht="12" customHeight="1" x14ac:dyDescent="0.25">
      <c r="A85" s="84"/>
      <c r="B85" s="86" t="s">
        <v>316</v>
      </c>
      <c r="C85" s="112"/>
      <c r="D85" s="229" t="s">
        <v>286</v>
      </c>
      <c r="E85" s="230"/>
      <c r="F85" s="84"/>
      <c r="G85" s="84"/>
      <c r="H85" s="84"/>
      <c r="I85" s="84"/>
    </row>
    <row r="86" spans="1:9" ht="12" customHeight="1" x14ac:dyDescent="0.25">
      <c r="A86" s="85" t="s">
        <v>122</v>
      </c>
      <c r="B86" s="256" t="s">
        <v>123</v>
      </c>
      <c r="C86" s="257"/>
      <c r="D86" s="238">
        <f>D79</f>
        <v>67.141731576738863</v>
      </c>
      <c r="E86" s="237"/>
      <c r="F86" s="84"/>
      <c r="G86" s="84"/>
      <c r="H86" s="84"/>
      <c r="I86" s="84"/>
    </row>
    <row r="87" spans="1:9" ht="12" customHeight="1" x14ac:dyDescent="0.25">
      <c r="A87" s="85" t="s">
        <v>141</v>
      </c>
      <c r="B87" s="256" t="s">
        <v>147</v>
      </c>
      <c r="C87" s="257"/>
      <c r="D87" s="238">
        <f>D83</f>
        <v>0</v>
      </c>
      <c r="E87" s="237"/>
      <c r="F87" s="84"/>
      <c r="G87" s="84"/>
      <c r="H87" s="84"/>
      <c r="I87" s="84"/>
    </row>
    <row r="88" spans="1:9" ht="12" customHeight="1" x14ac:dyDescent="0.25">
      <c r="A88" s="84"/>
      <c r="B88" s="250" t="s">
        <v>180</v>
      </c>
      <c r="C88" s="251"/>
      <c r="D88" s="236">
        <f>SUM(D86:E87)</f>
        <v>67.141731576738863</v>
      </c>
      <c r="E88" s="237"/>
      <c r="F88" s="84"/>
      <c r="G88" s="84"/>
      <c r="H88" s="84"/>
      <c r="I88" s="84"/>
    </row>
    <row r="89" spans="1:9" ht="12" customHeight="1" x14ac:dyDescent="0.25">
      <c r="A89" s="84"/>
      <c r="B89" s="222" t="s">
        <v>317</v>
      </c>
      <c r="C89" s="223"/>
      <c r="D89" s="223"/>
      <c r="E89" s="252"/>
      <c r="F89" s="84"/>
      <c r="G89" s="84"/>
      <c r="H89" s="84"/>
      <c r="I89" s="84"/>
    </row>
    <row r="90" spans="1:9" ht="12" customHeight="1" x14ac:dyDescent="0.25">
      <c r="A90" s="84"/>
      <c r="B90" s="222"/>
      <c r="C90" s="223"/>
      <c r="D90" s="223"/>
      <c r="E90" s="252"/>
      <c r="F90" s="84"/>
      <c r="G90" s="84"/>
      <c r="H90" s="84"/>
      <c r="I90" s="84"/>
    </row>
    <row r="91" spans="1:9" ht="12" customHeight="1" x14ac:dyDescent="0.25">
      <c r="A91" s="84"/>
      <c r="B91" s="88" t="s">
        <v>318</v>
      </c>
      <c r="C91" s="89"/>
      <c r="D91" s="229" t="s">
        <v>286</v>
      </c>
      <c r="E91" s="230"/>
      <c r="F91" s="84"/>
      <c r="G91" s="84"/>
      <c r="H91" s="84"/>
      <c r="I91" s="84"/>
    </row>
    <row r="92" spans="1:9" ht="12" customHeight="1" x14ac:dyDescent="0.25">
      <c r="A92" s="85" t="s">
        <v>28</v>
      </c>
      <c r="B92" s="96" t="s">
        <v>151</v>
      </c>
      <c r="C92" s="103"/>
      <c r="D92" s="216">
        <f>Uniformes!F11</f>
        <v>0</v>
      </c>
      <c r="E92" s="217"/>
      <c r="F92" s="84"/>
      <c r="G92" s="84"/>
      <c r="H92" s="84"/>
      <c r="I92" s="84"/>
    </row>
    <row r="93" spans="1:9" ht="12" customHeight="1" x14ac:dyDescent="0.25">
      <c r="A93" s="85" t="s">
        <v>31</v>
      </c>
      <c r="B93" s="96" t="s">
        <v>152</v>
      </c>
      <c r="C93" s="103"/>
      <c r="D93" s="216">
        <v>0</v>
      </c>
      <c r="E93" s="217"/>
      <c r="F93" s="84"/>
      <c r="G93" s="84"/>
      <c r="H93" s="84"/>
      <c r="I93" s="84"/>
    </row>
    <row r="94" spans="1:9" ht="12" customHeight="1" x14ac:dyDescent="0.25">
      <c r="A94" s="85" t="s">
        <v>34</v>
      </c>
      <c r="B94" s="96" t="s">
        <v>153</v>
      </c>
      <c r="C94" s="103"/>
      <c r="D94" s="216">
        <v>0</v>
      </c>
      <c r="E94" s="217"/>
      <c r="F94" s="84"/>
      <c r="G94" s="84"/>
      <c r="H94" s="84"/>
      <c r="I94" s="84"/>
    </row>
    <row r="95" spans="1:9" ht="12" customHeight="1" x14ac:dyDescent="0.25">
      <c r="A95" s="85" t="s">
        <v>36</v>
      </c>
      <c r="B95" s="109" t="s">
        <v>42</v>
      </c>
      <c r="C95" s="103"/>
      <c r="D95" s="216">
        <v>0</v>
      </c>
      <c r="E95" s="217"/>
      <c r="F95" s="84"/>
      <c r="G95" s="84"/>
      <c r="H95" s="84"/>
      <c r="I95" s="84"/>
    </row>
    <row r="96" spans="1:9" ht="12" customHeight="1" x14ac:dyDescent="0.25">
      <c r="A96" s="84"/>
      <c r="B96" s="93" t="s">
        <v>319</v>
      </c>
      <c r="C96" s="110"/>
      <c r="D96" s="247">
        <f>SUM(D92:E95)</f>
        <v>0</v>
      </c>
      <c r="E96" s="247"/>
      <c r="F96" s="84"/>
      <c r="G96" s="84"/>
      <c r="H96" s="84"/>
      <c r="I96" s="84"/>
    </row>
    <row r="97" spans="1:9" ht="12" customHeight="1" x14ac:dyDescent="0.25">
      <c r="A97" s="84"/>
      <c r="B97" s="222" t="s">
        <v>320</v>
      </c>
      <c r="C97" s="223"/>
      <c r="D97" s="223"/>
      <c r="E97" s="252"/>
      <c r="F97" s="84"/>
      <c r="G97" s="84"/>
      <c r="H97" s="84"/>
      <c r="I97" s="84"/>
    </row>
    <row r="98" spans="1:9" ht="12" customHeight="1" x14ac:dyDescent="0.25">
      <c r="A98" s="84"/>
      <c r="B98" s="222"/>
      <c r="C98" s="223"/>
      <c r="D98" s="223"/>
      <c r="E98" s="252"/>
      <c r="F98" s="84"/>
      <c r="G98" s="84"/>
      <c r="H98" s="84"/>
      <c r="I98" s="84"/>
    </row>
    <row r="99" spans="1:9" ht="12" customHeight="1" x14ac:dyDescent="0.25">
      <c r="A99" s="84"/>
      <c r="B99" s="124" t="s">
        <v>321</v>
      </c>
      <c r="C99" s="88"/>
      <c r="D99" s="229" t="s">
        <v>286</v>
      </c>
      <c r="E99" s="230"/>
      <c r="F99" s="84"/>
      <c r="G99" s="84"/>
      <c r="H99" s="84"/>
      <c r="I99" s="84"/>
    </row>
    <row r="100" spans="1:9" ht="12" customHeight="1" x14ac:dyDescent="0.25">
      <c r="A100" s="85" t="s">
        <v>28</v>
      </c>
      <c r="B100" s="100" t="s">
        <v>322</v>
      </c>
      <c r="C100" s="125">
        <v>0</v>
      </c>
      <c r="D100" s="238">
        <f>C100*D115</f>
        <v>0</v>
      </c>
      <c r="E100" s="245"/>
      <c r="F100" s="84"/>
      <c r="G100" s="84"/>
      <c r="H100" s="84"/>
      <c r="I100" s="84"/>
    </row>
    <row r="101" spans="1:9" ht="12" customHeight="1" x14ac:dyDescent="0.25">
      <c r="A101" s="85" t="s">
        <v>31</v>
      </c>
      <c r="B101" s="100" t="s">
        <v>323</v>
      </c>
      <c r="C101" s="125">
        <v>0</v>
      </c>
      <c r="D101" s="238">
        <f>(D100+D115)*C101</f>
        <v>0</v>
      </c>
      <c r="E101" s="237"/>
      <c r="F101" s="84"/>
      <c r="G101" s="84"/>
      <c r="H101" s="84"/>
      <c r="I101" s="84"/>
    </row>
    <row r="102" spans="1:9" ht="12" customHeight="1" x14ac:dyDescent="0.25">
      <c r="A102" s="126" t="s">
        <v>34</v>
      </c>
      <c r="B102" s="127" t="s">
        <v>324</v>
      </c>
      <c r="C102" s="128"/>
      <c r="D102" s="269"/>
      <c r="E102" s="270"/>
      <c r="F102" s="84"/>
      <c r="G102" s="84"/>
      <c r="H102" s="84"/>
      <c r="I102" s="84"/>
    </row>
    <row r="103" spans="1:9" ht="12" customHeight="1" x14ac:dyDescent="0.25">
      <c r="A103" s="129"/>
      <c r="B103" s="130" t="s">
        <v>325</v>
      </c>
      <c r="C103" s="131">
        <v>0.05</v>
      </c>
      <c r="D103" s="238">
        <f>($D100+$D101+$D115)/(1-$C$106)*C103</f>
        <v>142.45002682675093</v>
      </c>
      <c r="E103" s="245"/>
      <c r="F103" s="129"/>
      <c r="G103" s="129"/>
      <c r="H103" s="129"/>
      <c r="I103" s="129"/>
    </row>
    <row r="104" spans="1:9" ht="12" customHeight="1" x14ac:dyDescent="0.25">
      <c r="A104" s="84"/>
      <c r="B104" s="132" t="s">
        <v>326</v>
      </c>
      <c r="C104" s="125">
        <v>0.03</v>
      </c>
      <c r="D104" s="238">
        <f>($D100+$D101+$D115)/(1-$C$106)*C104</f>
        <v>85.470016096050557</v>
      </c>
      <c r="E104" s="245"/>
      <c r="F104" s="84"/>
      <c r="G104" s="84"/>
      <c r="H104" s="84"/>
      <c r="I104" s="84"/>
    </row>
    <row r="105" spans="1:9" ht="12" customHeight="1" x14ac:dyDescent="0.25">
      <c r="A105" s="84"/>
      <c r="B105" s="132" t="s">
        <v>327</v>
      </c>
      <c r="C105" s="125">
        <v>6.4999999999999997E-3</v>
      </c>
      <c r="D105" s="238">
        <f>($D100+$D101+$D115)/(1-$C$106)*C105</f>
        <v>18.51850348747762</v>
      </c>
      <c r="E105" s="245"/>
      <c r="F105" s="84"/>
      <c r="G105" s="84"/>
      <c r="H105" s="84"/>
      <c r="I105" s="84"/>
    </row>
    <row r="106" spans="1:9" ht="12" customHeight="1" x14ac:dyDescent="0.25">
      <c r="A106" s="84"/>
      <c r="B106" s="126" t="s">
        <v>328</v>
      </c>
      <c r="C106" s="120">
        <f>TRUNC(SUM(C103:C105),8)</f>
        <v>8.6499999999999994E-2</v>
      </c>
      <c r="D106" s="236">
        <f>SUM(D100:E105)</f>
        <v>246.43854641027912</v>
      </c>
      <c r="E106" s="237"/>
      <c r="F106" s="84"/>
      <c r="G106" s="84"/>
      <c r="H106" s="84"/>
      <c r="I106" s="84"/>
    </row>
    <row r="107" spans="1:9" ht="12" customHeight="1" x14ac:dyDescent="0.25">
      <c r="A107" s="84"/>
      <c r="B107" s="226" t="s">
        <v>329</v>
      </c>
      <c r="C107" s="226"/>
      <c r="D107" s="226"/>
      <c r="E107" s="226"/>
      <c r="F107" s="84"/>
      <c r="G107" s="84"/>
      <c r="H107" s="84"/>
      <c r="I107" s="84"/>
    </row>
    <row r="108" spans="1:9" ht="12" customHeight="1" x14ac:dyDescent="0.25">
      <c r="A108" s="84"/>
      <c r="B108" s="226"/>
      <c r="C108" s="226"/>
      <c r="D108" s="226"/>
      <c r="E108" s="226"/>
      <c r="F108" s="84"/>
      <c r="G108" s="84"/>
      <c r="H108" s="84"/>
      <c r="I108" s="84"/>
    </row>
    <row r="109" spans="1:9" ht="12" customHeight="1" x14ac:dyDescent="0.25">
      <c r="A109" s="84"/>
      <c r="B109" s="227" t="s">
        <v>330</v>
      </c>
      <c r="C109" s="228"/>
      <c r="D109" s="229" t="s">
        <v>286</v>
      </c>
      <c r="E109" s="230"/>
      <c r="F109" s="84"/>
      <c r="G109" s="84"/>
      <c r="H109" s="84"/>
      <c r="I109" s="84"/>
    </row>
    <row r="110" spans="1:9" ht="12" customHeight="1" x14ac:dyDescent="0.25">
      <c r="A110" s="85" t="s">
        <v>28</v>
      </c>
      <c r="B110" s="268" t="s">
        <v>331</v>
      </c>
      <c r="C110" s="263"/>
      <c r="D110" s="216">
        <f>+D25</f>
        <v>1213.74</v>
      </c>
      <c r="E110" s="217"/>
      <c r="F110" s="84"/>
      <c r="G110" s="84"/>
      <c r="H110" s="84"/>
      <c r="I110" s="84"/>
    </row>
    <row r="111" spans="1:9" ht="12" customHeight="1" x14ac:dyDescent="0.25">
      <c r="A111" s="85" t="s">
        <v>31</v>
      </c>
      <c r="B111" s="268" t="s">
        <v>47</v>
      </c>
      <c r="C111" s="263"/>
      <c r="D111" s="216">
        <f>D58</f>
        <v>1245.9440962880001</v>
      </c>
      <c r="E111" s="217"/>
      <c r="F111" s="84"/>
      <c r="G111" s="84"/>
      <c r="H111" s="84"/>
      <c r="I111" s="84"/>
    </row>
    <row r="112" spans="1:9" ht="12" customHeight="1" x14ac:dyDescent="0.25">
      <c r="A112" s="85" t="s">
        <v>34</v>
      </c>
      <c r="B112" s="268" t="s">
        <v>101</v>
      </c>
      <c r="C112" s="263"/>
      <c r="D112" s="216">
        <f>D68</f>
        <v>75.736162260000015</v>
      </c>
      <c r="E112" s="217"/>
      <c r="F112" s="84"/>
      <c r="G112" s="84"/>
      <c r="H112" s="84"/>
      <c r="I112" s="84"/>
    </row>
    <row r="113" spans="1:9" ht="12" customHeight="1" x14ac:dyDescent="0.25">
      <c r="A113" s="133" t="s">
        <v>36</v>
      </c>
      <c r="B113" s="268" t="s">
        <v>170</v>
      </c>
      <c r="C113" s="263"/>
      <c r="D113" s="216">
        <f>D88</f>
        <v>67.141731576738863</v>
      </c>
      <c r="E113" s="217"/>
      <c r="F113" s="84"/>
      <c r="G113" s="84"/>
      <c r="H113" s="84"/>
      <c r="I113" s="84"/>
    </row>
    <row r="114" spans="1:9" ht="12" customHeight="1" x14ac:dyDescent="0.25">
      <c r="A114" s="134" t="s">
        <v>39</v>
      </c>
      <c r="B114" s="262" t="s">
        <v>148</v>
      </c>
      <c r="C114" s="263"/>
      <c r="D114" s="216">
        <f>D96</f>
        <v>0</v>
      </c>
      <c r="E114" s="217"/>
      <c r="F114" s="84"/>
      <c r="G114" s="84"/>
      <c r="H114" s="84"/>
      <c r="I114" s="84"/>
    </row>
    <row r="115" spans="1:9" ht="12" customHeight="1" x14ac:dyDescent="0.25">
      <c r="A115" s="84"/>
      <c r="B115" s="264" t="s">
        <v>332</v>
      </c>
      <c r="C115" s="265"/>
      <c r="D115" s="266">
        <f>SUM(D110:E114)</f>
        <v>2602.5619901247392</v>
      </c>
      <c r="E115" s="267"/>
      <c r="F115" s="84"/>
      <c r="G115" s="84"/>
      <c r="H115" s="84"/>
      <c r="I115" s="84"/>
    </row>
    <row r="116" spans="1:9" ht="12" customHeight="1" x14ac:dyDescent="0.25">
      <c r="A116" s="85" t="s">
        <v>41</v>
      </c>
      <c r="B116" s="268" t="s">
        <v>333</v>
      </c>
      <c r="C116" s="263"/>
      <c r="D116" s="244">
        <f>+D106</f>
        <v>246.43854641027912</v>
      </c>
      <c r="E116" s="244"/>
      <c r="F116" s="84"/>
      <c r="G116" s="84"/>
      <c r="H116" s="84"/>
      <c r="I116" s="84"/>
    </row>
    <row r="117" spans="1:9" ht="12" customHeight="1" x14ac:dyDescent="0.25">
      <c r="A117" s="84"/>
      <c r="B117" s="260" t="s">
        <v>334</v>
      </c>
      <c r="C117" s="261"/>
      <c r="D117" s="236">
        <f>+D115+D116</f>
        <v>2849.0005365350185</v>
      </c>
      <c r="E117" s="237"/>
      <c r="F117" s="84"/>
      <c r="G117" s="84"/>
      <c r="H117" s="84"/>
      <c r="I117" s="84"/>
    </row>
  </sheetData>
  <mergeCells count="144">
    <mergeCell ref="B107:E107"/>
    <mergeCell ref="B108:E108"/>
    <mergeCell ref="B109:C109"/>
    <mergeCell ref="D109:E109"/>
    <mergeCell ref="B110:C110"/>
    <mergeCell ref="D110:E110"/>
    <mergeCell ref="D101:E101"/>
    <mergeCell ref="D102:E102"/>
    <mergeCell ref="D103:E103"/>
    <mergeCell ref="D104:E104"/>
    <mergeCell ref="D105:E105"/>
    <mergeCell ref="D106:E106"/>
    <mergeCell ref="B117:C117"/>
    <mergeCell ref="D117:E117"/>
    <mergeCell ref="B114:C114"/>
    <mergeCell ref="D114:E114"/>
    <mergeCell ref="B115:C115"/>
    <mergeCell ref="D115:E115"/>
    <mergeCell ref="B116:C116"/>
    <mergeCell ref="D116:E116"/>
    <mergeCell ref="B111:C111"/>
    <mergeCell ref="D111:E111"/>
    <mergeCell ref="B112:C112"/>
    <mergeCell ref="D112:E112"/>
    <mergeCell ref="B113:C113"/>
    <mergeCell ref="D113:E113"/>
    <mergeCell ref="D95:E95"/>
    <mergeCell ref="D96:E96"/>
    <mergeCell ref="B97:E97"/>
    <mergeCell ref="B98:E98"/>
    <mergeCell ref="D99:E99"/>
    <mergeCell ref="D100:E100"/>
    <mergeCell ref="B89:E89"/>
    <mergeCell ref="B90:E90"/>
    <mergeCell ref="D91:E91"/>
    <mergeCell ref="D92:E92"/>
    <mergeCell ref="D93:E93"/>
    <mergeCell ref="D94:E94"/>
    <mergeCell ref="D85:E85"/>
    <mergeCell ref="B86:C86"/>
    <mergeCell ref="D86:E86"/>
    <mergeCell ref="B87:C87"/>
    <mergeCell ref="D87:E87"/>
    <mergeCell ref="B88:C88"/>
    <mergeCell ref="D88:E88"/>
    <mergeCell ref="D79:E79"/>
    <mergeCell ref="B80:E80"/>
    <mergeCell ref="D81:E81"/>
    <mergeCell ref="D82:E82"/>
    <mergeCell ref="D83:E83"/>
    <mergeCell ref="B84:E84"/>
    <mergeCell ref="D73:E73"/>
    <mergeCell ref="D74:E74"/>
    <mergeCell ref="D75:E75"/>
    <mergeCell ref="D76:E76"/>
    <mergeCell ref="D77:E77"/>
    <mergeCell ref="D78:E78"/>
    <mergeCell ref="D67:E67"/>
    <mergeCell ref="D68:E68"/>
    <mergeCell ref="B69:E69"/>
    <mergeCell ref="B70:E70"/>
    <mergeCell ref="B71:E71"/>
    <mergeCell ref="D72:E72"/>
    <mergeCell ref="D61:E61"/>
    <mergeCell ref="D62:E62"/>
    <mergeCell ref="D63:E63"/>
    <mergeCell ref="D64:E64"/>
    <mergeCell ref="D65:E65"/>
    <mergeCell ref="D66:E66"/>
    <mergeCell ref="B57:C57"/>
    <mergeCell ref="D57:E57"/>
    <mergeCell ref="B58:C58"/>
    <mergeCell ref="D58:E58"/>
    <mergeCell ref="B59:E59"/>
    <mergeCell ref="B60:E60"/>
    <mergeCell ref="D52:E52"/>
    <mergeCell ref="B53:E53"/>
    <mergeCell ref="D54:E54"/>
    <mergeCell ref="B55:C55"/>
    <mergeCell ref="D55:E55"/>
    <mergeCell ref="B56:C56"/>
    <mergeCell ref="D56:E56"/>
    <mergeCell ref="D43:E43"/>
    <mergeCell ref="B44:E44"/>
    <mergeCell ref="D45:E45"/>
    <mergeCell ref="D46:E46"/>
    <mergeCell ref="D47:E47"/>
    <mergeCell ref="D48:E48"/>
    <mergeCell ref="D51:E51"/>
    <mergeCell ref="D50:E50"/>
    <mergeCell ref="D37:E37"/>
    <mergeCell ref="D38:E38"/>
    <mergeCell ref="D39:E39"/>
    <mergeCell ref="D40:E40"/>
    <mergeCell ref="D41:E41"/>
    <mergeCell ref="D42:E42"/>
    <mergeCell ref="D31:E31"/>
    <mergeCell ref="D32:E32"/>
    <mergeCell ref="B33:E33"/>
    <mergeCell ref="D34:E34"/>
    <mergeCell ref="D35:E35"/>
    <mergeCell ref="D36:E36"/>
    <mergeCell ref="B28:E28"/>
    <mergeCell ref="D29:E29"/>
    <mergeCell ref="D30:E30"/>
    <mergeCell ref="C13:C14"/>
    <mergeCell ref="D13:D14"/>
    <mergeCell ref="E13:E14"/>
    <mergeCell ref="B22:C22"/>
    <mergeCell ref="D22:E22"/>
    <mergeCell ref="B23:C23"/>
    <mergeCell ref="D23:E23"/>
    <mergeCell ref="B24:C24"/>
    <mergeCell ref="D24:E24"/>
    <mergeCell ref="B19:C19"/>
    <mergeCell ref="D19:E19"/>
    <mergeCell ref="B20:C20"/>
    <mergeCell ref="D20:E20"/>
    <mergeCell ref="B21:C21"/>
    <mergeCell ref="D21:E21"/>
    <mergeCell ref="G48:I48"/>
    <mergeCell ref="B1:E1"/>
    <mergeCell ref="B2:E2"/>
    <mergeCell ref="B3:E4"/>
    <mergeCell ref="B5:E5"/>
    <mergeCell ref="D6:E6"/>
    <mergeCell ref="B7:C7"/>
    <mergeCell ref="D49:E49"/>
    <mergeCell ref="D7:E7"/>
    <mergeCell ref="D8:E8"/>
    <mergeCell ref="B9:C9"/>
    <mergeCell ref="D9:E9"/>
    <mergeCell ref="B15:C15"/>
    <mergeCell ref="D15:E15"/>
    <mergeCell ref="B16:E16"/>
    <mergeCell ref="B17:E17"/>
    <mergeCell ref="B18:C18"/>
    <mergeCell ref="D18:E18"/>
    <mergeCell ref="B10:E10"/>
    <mergeCell ref="B11:E11"/>
    <mergeCell ref="B13:B14"/>
    <mergeCell ref="D25:E25"/>
    <mergeCell ref="B26:E26"/>
    <mergeCell ref="B27:E27"/>
  </mergeCells>
  <pageMargins left="0.75" right="0.75" top="1" bottom="1" header="0.5" footer="0.5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96A1C-0317-4D60-8A6C-1ECDBC291EE7}">
  <dimension ref="A1:I117"/>
  <sheetViews>
    <sheetView topLeftCell="A106" zoomScale="115" zoomScaleNormal="115" zoomScaleSheetLayoutView="100" workbookViewId="0">
      <selection activeCell="D117" sqref="D117:E117"/>
    </sheetView>
  </sheetViews>
  <sheetFormatPr defaultColWidth="9.140625" defaultRowHeight="12" customHeight="1" x14ac:dyDescent="0.25"/>
  <cols>
    <col min="1" max="1" width="3.140625" customWidth="1"/>
    <col min="2" max="2" width="55.42578125" customWidth="1"/>
    <col min="3" max="3" width="8.7109375" customWidth="1"/>
    <col min="4" max="4" width="12.7109375" customWidth="1"/>
    <col min="5" max="5" width="13.7109375" customWidth="1"/>
    <col min="7" max="7" width="4.5703125" customWidth="1"/>
    <col min="8" max="8" width="12.28515625" customWidth="1"/>
  </cols>
  <sheetData>
    <row r="1" spans="1:9" ht="12" customHeight="1" x14ac:dyDescent="0.25">
      <c r="A1" s="84"/>
      <c r="B1" s="204" t="s">
        <v>350</v>
      </c>
      <c r="C1" s="204"/>
      <c r="D1" s="204"/>
      <c r="E1" s="204"/>
      <c r="F1" s="84"/>
      <c r="G1" s="84"/>
      <c r="H1" s="84"/>
      <c r="I1" s="84"/>
    </row>
    <row r="2" spans="1:9" ht="12" customHeight="1" x14ac:dyDescent="0.25">
      <c r="A2" s="84"/>
      <c r="B2" s="205" t="s">
        <v>335</v>
      </c>
      <c r="C2" s="205"/>
      <c r="D2" s="205"/>
      <c r="E2" s="205"/>
      <c r="F2" s="84"/>
      <c r="G2" s="84"/>
      <c r="H2" s="84"/>
      <c r="I2" s="84"/>
    </row>
    <row r="3" spans="1:9" ht="12" customHeight="1" x14ac:dyDescent="0.25">
      <c r="A3" s="84"/>
      <c r="B3" s="206"/>
      <c r="C3" s="207"/>
      <c r="D3" s="207"/>
      <c r="E3" s="208"/>
      <c r="F3" s="84"/>
      <c r="G3" s="84"/>
      <c r="H3" s="84"/>
      <c r="I3" s="84"/>
    </row>
    <row r="4" spans="1:9" ht="12" customHeight="1" x14ac:dyDescent="0.25">
      <c r="A4" s="84"/>
      <c r="B4" s="209"/>
      <c r="C4" s="210"/>
      <c r="D4" s="210"/>
      <c r="E4" s="211"/>
      <c r="F4" s="84"/>
      <c r="G4" s="84"/>
      <c r="H4" s="84"/>
      <c r="I4" s="84"/>
    </row>
    <row r="5" spans="1:9" ht="12" customHeight="1" x14ac:dyDescent="0.25">
      <c r="A5" s="84"/>
      <c r="B5" s="209" t="s">
        <v>275</v>
      </c>
      <c r="C5" s="210"/>
      <c r="D5" s="210"/>
      <c r="E5" s="211"/>
      <c r="F5" s="84"/>
      <c r="G5" s="84"/>
      <c r="H5" s="84"/>
      <c r="I5" s="84"/>
    </row>
    <row r="6" spans="1:9" ht="12" customHeight="1" x14ac:dyDescent="0.25">
      <c r="A6" s="85" t="s">
        <v>28</v>
      </c>
      <c r="B6" s="86" t="s">
        <v>276</v>
      </c>
      <c r="C6" s="87"/>
      <c r="D6" s="212" t="s">
        <v>197</v>
      </c>
      <c r="E6" s="213"/>
      <c r="F6" s="84"/>
      <c r="G6" s="84"/>
      <c r="H6" s="84"/>
      <c r="I6" s="84"/>
    </row>
    <row r="7" spans="1:9" ht="12" customHeight="1" x14ac:dyDescent="0.25">
      <c r="A7" s="85" t="s">
        <v>31</v>
      </c>
      <c r="B7" s="214" t="s">
        <v>174</v>
      </c>
      <c r="C7" s="215"/>
      <c r="D7" s="218" t="s">
        <v>175</v>
      </c>
      <c r="E7" s="219"/>
      <c r="F7" s="84"/>
      <c r="G7" s="84"/>
      <c r="H7" s="84"/>
      <c r="I7" s="84"/>
    </row>
    <row r="8" spans="1:9" ht="12" customHeight="1" x14ac:dyDescent="0.25">
      <c r="A8" s="85" t="s">
        <v>34</v>
      </c>
      <c r="B8" s="88" t="s">
        <v>277</v>
      </c>
      <c r="C8" s="89"/>
      <c r="D8" s="218" t="s">
        <v>196</v>
      </c>
      <c r="E8" s="219"/>
      <c r="F8" s="84"/>
      <c r="G8" s="84"/>
      <c r="H8" s="84"/>
      <c r="I8" s="84"/>
    </row>
    <row r="9" spans="1:9" ht="12" customHeight="1" x14ac:dyDescent="0.25">
      <c r="A9" s="85" t="s">
        <v>36</v>
      </c>
      <c r="B9" s="214" t="s">
        <v>278</v>
      </c>
      <c r="C9" s="215"/>
      <c r="D9" s="220" t="s">
        <v>176</v>
      </c>
      <c r="E9" s="221"/>
      <c r="F9" s="84"/>
      <c r="G9" s="84"/>
      <c r="H9" s="84"/>
      <c r="I9" s="84"/>
    </row>
    <row r="10" spans="1:9" ht="12" customHeight="1" x14ac:dyDescent="0.25">
      <c r="A10" s="84"/>
      <c r="B10" s="231"/>
      <c r="C10" s="231"/>
      <c r="D10" s="231"/>
      <c r="E10" s="231"/>
      <c r="F10" s="84"/>
      <c r="G10" s="84"/>
      <c r="H10" s="84"/>
      <c r="I10" s="84"/>
    </row>
    <row r="11" spans="1:9" ht="12" customHeight="1" x14ac:dyDescent="0.25">
      <c r="A11" s="84"/>
      <c r="B11" s="232" t="s">
        <v>279</v>
      </c>
      <c r="C11" s="233"/>
      <c r="D11" s="233"/>
      <c r="E11" s="233"/>
      <c r="F11" s="90"/>
      <c r="G11" s="84"/>
      <c r="H11" s="84"/>
      <c r="I11" s="84"/>
    </row>
    <row r="12" spans="1:9" ht="12" customHeight="1" x14ac:dyDescent="0.25">
      <c r="A12" s="84"/>
      <c r="B12" s="91" t="s">
        <v>280</v>
      </c>
      <c r="C12" s="91" t="s">
        <v>281</v>
      </c>
      <c r="D12" s="91" t="s">
        <v>19</v>
      </c>
      <c r="E12" s="92" t="s">
        <v>282</v>
      </c>
      <c r="F12" s="84"/>
      <c r="G12" s="84"/>
      <c r="H12" s="84"/>
      <c r="I12" s="84"/>
    </row>
    <row r="13" spans="1:9" ht="12" customHeight="1" x14ac:dyDescent="0.25">
      <c r="A13" s="84"/>
      <c r="B13" s="234" t="s">
        <v>173</v>
      </c>
      <c r="C13" s="239" t="s">
        <v>177</v>
      </c>
      <c r="D13" s="241">
        <v>44562</v>
      </c>
      <c r="E13" s="234">
        <v>1</v>
      </c>
      <c r="F13" s="84"/>
      <c r="G13" s="84"/>
      <c r="H13" s="84"/>
      <c r="I13" s="84"/>
    </row>
    <row r="14" spans="1:9" ht="12" customHeight="1" x14ac:dyDescent="0.25">
      <c r="A14" s="84"/>
      <c r="B14" s="235"/>
      <c r="C14" s="240"/>
      <c r="D14" s="235"/>
      <c r="E14" s="235"/>
      <c r="F14" s="84"/>
      <c r="G14" s="84"/>
      <c r="H14" s="84"/>
      <c r="I14" s="84"/>
    </row>
    <row r="15" spans="1:9" ht="12" customHeight="1" x14ac:dyDescent="0.25">
      <c r="A15" s="84"/>
      <c r="B15" s="222" t="s">
        <v>283</v>
      </c>
      <c r="C15" s="223"/>
      <c r="D15" s="224">
        <v>1461.33</v>
      </c>
      <c r="E15" s="225"/>
      <c r="F15" s="84"/>
      <c r="G15" s="84"/>
      <c r="H15" s="84"/>
      <c r="I15" s="84"/>
    </row>
    <row r="16" spans="1:9" ht="12" customHeight="1" x14ac:dyDescent="0.25">
      <c r="A16" s="84"/>
      <c r="B16" s="226" t="s">
        <v>284</v>
      </c>
      <c r="C16" s="226"/>
      <c r="D16" s="226"/>
      <c r="E16" s="226"/>
      <c r="F16" s="84"/>
      <c r="G16" s="84"/>
      <c r="H16" s="84"/>
      <c r="I16" s="84"/>
    </row>
    <row r="17" spans="1:9" ht="12" customHeight="1" x14ac:dyDescent="0.25">
      <c r="A17" s="84"/>
      <c r="B17" s="226"/>
      <c r="C17" s="226"/>
      <c r="D17" s="226"/>
      <c r="E17" s="226"/>
      <c r="F17" s="84"/>
      <c r="G17" s="84"/>
      <c r="H17" s="84"/>
      <c r="I17" s="84"/>
    </row>
    <row r="18" spans="1:9" ht="12" customHeight="1" x14ac:dyDescent="0.25">
      <c r="A18" s="84"/>
      <c r="B18" s="227" t="s">
        <v>285</v>
      </c>
      <c r="C18" s="228"/>
      <c r="D18" s="229" t="s">
        <v>286</v>
      </c>
      <c r="E18" s="230"/>
      <c r="F18" s="84"/>
      <c r="G18" s="84"/>
      <c r="H18" s="84"/>
      <c r="I18" s="84"/>
    </row>
    <row r="19" spans="1:9" ht="12" customHeight="1" x14ac:dyDescent="0.25">
      <c r="A19" s="85" t="s">
        <v>28</v>
      </c>
      <c r="B19" s="242" t="s">
        <v>287</v>
      </c>
      <c r="C19" s="243"/>
      <c r="D19" s="244">
        <f>+D15</f>
        <v>1461.33</v>
      </c>
      <c r="E19" s="244"/>
      <c r="F19" s="84"/>
      <c r="G19" s="84"/>
      <c r="H19" s="84"/>
      <c r="I19" s="84"/>
    </row>
    <row r="20" spans="1:9" ht="12" customHeight="1" x14ac:dyDescent="0.25">
      <c r="A20" s="85" t="s">
        <v>31</v>
      </c>
      <c r="B20" s="242" t="s">
        <v>288</v>
      </c>
      <c r="C20" s="243"/>
      <c r="D20" s="216">
        <v>0</v>
      </c>
      <c r="E20" s="217"/>
      <c r="F20" s="84"/>
      <c r="G20" s="84"/>
      <c r="H20" s="84"/>
      <c r="I20" s="84"/>
    </row>
    <row r="21" spans="1:9" ht="12" customHeight="1" x14ac:dyDescent="0.25">
      <c r="A21" s="85" t="s">
        <v>34</v>
      </c>
      <c r="B21" s="242" t="s">
        <v>289</v>
      </c>
      <c r="C21" s="243"/>
      <c r="D21" s="216">
        <v>0</v>
      </c>
      <c r="E21" s="217"/>
      <c r="F21" s="84"/>
      <c r="G21" s="84"/>
      <c r="H21" s="84"/>
      <c r="I21" s="84"/>
    </row>
    <row r="22" spans="1:9" ht="12" customHeight="1" x14ac:dyDescent="0.25">
      <c r="A22" s="85" t="s">
        <v>36</v>
      </c>
      <c r="B22" s="242" t="s">
        <v>290</v>
      </c>
      <c r="C22" s="243"/>
      <c r="D22" s="216">
        <v>0</v>
      </c>
      <c r="E22" s="217"/>
      <c r="F22" s="84"/>
      <c r="G22" s="84"/>
      <c r="H22" s="84"/>
      <c r="I22" s="84"/>
    </row>
    <row r="23" spans="1:9" ht="12" customHeight="1" x14ac:dyDescent="0.25">
      <c r="A23" s="85" t="s">
        <v>39</v>
      </c>
      <c r="B23" s="242" t="s">
        <v>40</v>
      </c>
      <c r="C23" s="243"/>
      <c r="D23" s="216">
        <v>0</v>
      </c>
      <c r="E23" s="217"/>
      <c r="F23" s="84"/>
      <c r="G23" s="84"/>
      <c r="H23" s="84"/>
      <c r="I23" s="84"/>
    </row>
    <row r="24" spans="1:9" ht="12" customHeight="1" x14ac:dyDescent="0.25">
      <c r="A24" s="85" t="s">
        <v>41</v>
      </c>
      <c r="B24" s="242" t="s">
        <v>338</v>
      </c>
      <c r="C24" s="243"/>
      <c r="D24" s="216">
        <v>220</v>
      </c>
      <c r="E24" s="217"/>
      <c r="F24" s="84"/>
      <c r="G24" s="84"/>
      <c r="H24" s="84"/>
      <c r="I24" s="84"/>
    </row>
    <row r="25" spans="1:9" ht="12" customHeight="1" x14ac:dyDescent="0.25">
      <c r="A25" s="84"/>
      <c r="B25" s="93" t="s">
        <v>291</v>
      </c>
      <c r="C25" s="94"/>
      <c r="D25" s="236">
        <f>SUM(D19:E24)</f>
        <v>1681.33</v>
      </c>
      <c r="E25" s="237"/>
      <c r="F25" s="84"/>
      <c r="G25" s="95"/>
      <c r="H25" s="95"/>
      <c r="I25" s="95"/>
    </row>
    <row r="26" spans="1:9" ht="12" customHeight="1" x14ac:dyDescent="0.25">
      <c r="A26" s="84"/>
      <c r="B26" s="226" t="s">
        <v>292</v>
      </c>
      <c r="C26" s="226"/>
      <c r="D26" s="226"/>
      <c r="E26" s="226"/>
      <c r="F26" s="84"/>
      <c r="G26" s="84"/>
      <c r="H26" s="84"/>
      <c r="I26" s="84"/>
    </row>
    <row r="27" spans="1:9" ht="12" customHeight="1" x14ac:dyDescent="0.25">
      <c r="A27" s="84"/>
      <c r="B27" s="226"/>
      <c r="C27" s="226"/>
      <c r="D27" s="226"/>
      <c r="E27" s="226"/>
      <c r="F27" s="84"/>
      <c r="G27" s="84"/>
      <c r="H27" s="84"/>
      <c r="I27" s="84"/>
    </row>
    <row r="28" spans="1:9" ht="12" customHeight="1" x14ac:dyDescent="0.25">
      <c r="A28" s="84"/>
      <c r="B28" s="226" t="s">
        <v>293</v>
      </c>
      <c r="C28" s="226"/>
      <c r="D28" s="226"/>
      <c r="E28" s="226"/>
      <c r="F28" s="84"/>
      <c r="G28" s="84"/>
      <c r="H28" s="84"/>
      <c r="I28" s="84"/>
    </row>
    <row r="29" spans="1:9" ht="12" customHeight="1" x14ac:dyDescent="0.25">
      <c r="A29" s="84"/>
      <c r="B29" s="88" t="s">
        <v>294</v>
      </c>
      <c r="C29" s="89"/>
      <c r="D29" s="229" t="s">
        <v>286</v>
      </c>
      <c r="E29" s="230"/>
      <c r="F29" s="84"/>
      <c r="G29" s="84"/>
      <c r="H29" s="95"/>
      <c r="I29" s="95"/>
    </row>
    <row r="30" spans="1:9" ht="12" customHeight="1" x14ac:dyDescent="0.25">
      <c r="A30" s="85" t="s">
        <v>28</v>
      </c>
      <c r="B30" s="96" t="s">
        <v>53</v>
      </c>
      <c r="C30" s="97">
        <v>8.3299999999999999E-2</v>
      </c>
      <c r="D30" s="238">
        <f>(D25*C30)</f>
        <v>140.054789</v>
      </c>
      <c r="E30" s="237"/>
      <c r="F30" s="84"/>
      <c r="G30" s="95"/>
      <c r="H30" s="95"/>
      <c r="I30" s="84"/>
    </row>
    <row r="31" spans="1:9" ht="12" customHeight="1" x14ac:dyDescent="0.25">
      <c r="A31" s="85" t="s">
        <v>31</v>
      </c>
      <c r="B31" s="98" t="s">
        <v>179</v>
      </c>
      <c r="C31" s="97">
        <v>0.1111</v>
      </c>
      <c r="D31" s="238">
        <f xml:space="preserve"> (D25*C31)</f>
        <v>186.79576299999999</v>
      </c>
      <c r="E31" s="245"/>
      <c r="F31" s="84"/>
      <c r="G31" s="84"/>
      <c r="H31" s="95"/>
      <c r="I31" s="95"/>
    </row>
    <row r="32" spans="1:9" ht="12" customHeight="1" x14ac:dyDescent="0.25">
      <c r="A32" s="84"/>
      <c r="B32" s="93" t="s">
        <v>291</v>
      </c>
      <c r="C32" s="99">
        <f>SUM(C30:C31)</f>
        <v>0.19440000000000002</v>
      </c>
      <c r="D32" s="236">
        <f>SUM(D30:E31)</f>
        <v>326.85055199999999</v>
      </c>
      <c r="E32" s="237"/>
      <c r="F32" s="84"/>
      <c r="G32" s="84"/>
      <c r="H32" s="84"/>
      <c r="I32" s="84"/>
    </row>
    <row r="33" spans="1:9" ht="12" customHeight="1" x14ac:dyDescent="0.25">
      <c r="A33" s="84"/>
      <c r="B33" s="246" t="s">
        <v>295</v>
      </c>
      <c r="C33" s="246"/>
      <c r="D33" s="246"/>
      <c r="E33" s="246"/>
      <c r="F33" s="84"/>
      <c r="G33" s="84"/>
      <c r="H33" s="84"/>
      <c r="I33" s="84"/>
    </row>
    <row r="34" spans="1:9" ht="12" customHeight="1" x14ac:dyDescent="0.25">
      <c r="A34" s="84"/>
      <c r="B34" s="88" t="s">
        <v>296</v>
      </c>
      <c r="C34" s="89"/>
      <c r="D34" s="229" t="s">
        <v>286</v>
      </c>
      <c r="E34" s="230"/>
      <c r="F34" s="84"/>
      <c r="G34" s="84"/>
      <c r="H34" s="84"/>
      <c r="I34" s="84"/>
    </row>
    <row r="35" spans="1:9" ht="12" customHeight="1" x14ac:dyDescent="0.25">
      <c r="A35" s="85" t="s">
        <v>28</v>
      </c>
      <c r="B35" s="100" t="s">
        <v>70</v>
      </c>
      <c r="C35" s="97">
        <v>0.2</v>
      </c>
      <c r="D35" s="238">
        <f>(C35*($D$25+$D$32))</f>
        <v>401.63611040000001</v>
      </c>
      <c r="E35" s="245"/>
      <c r="F35" s="84"/>
      <c r="G35" s="84"/>
      <c r="H35" s="84"/>
      <c r="I35" s="84"/>
    </row>
    <row r="36" spans="1:9" ht="12" customHeight="1" x14ac:dyDescent="0.25">
      <c r="A36" s="85" t="s">
        <v>31</v>
      </c>
      <c r="B36" s="100" t="s">
        <v>297</v>
      </c>
      <c r="C36" s="97">
        <v>1.4999999999999999E-2</v>
      </c>
      <c r="D36" s="238">
        <f>(C36*($D$25+$D$32))</f>
        <v>30.122708279999998</v>
      </c>
      <c r="E36" s="245"/>
      <c r="F36" s="84"/>
      <c r="G36" s="84"/>
      <c r="H36" s="84"/>
      <c r="I36" s="84"/>
    </row>
    <row r="37" spans="1:9" ht="12" customHeight="1" x14ac:dyDescent="0.25">
      <c r="A37" s="85" t="s">
        <v>34</v>
      </c>
      <c r="B37" s="100" t="s">
        <v>298</v>
      </c>
      <c r="C37" s="97">
        <v>0.01</v>
      </c>
      <c r="D37" s="238">
        <f>(C37*($D$25+$D$32))</f>
        <v>20.08180552</v>
      </c>
      <c r="E37" s="245"/>
    </row>
    <row r="38" spans="1:9" ht="12" customHeight="1" x14ac:dyDescent="0.25">
      <c r="A38" s="85" t="s">
        <v>36</v>
      </c>
      <c r="B38" s="100" t="s">
        <v>77</v>
      </c>
      <c r="C38" s="97">
        <v>2E-3</v>
      </c>
      <c r="D38" s="238">
        <f>(C38*($D$25+$D$32))</f>
        <v>4.0163611039999996</v>
      </c>
      <c r="E38" s="245"/>
    </row>
    <row r="39" spans="1:9" ht="12" customHeight="1" x14ac:dyDescent="0.25">
      <c r="A39" s="85" t="s">
        <v>39</v>
      </c>
      <c r="B39" s="100" t="s">
        <v>71</v>
      </c>
      <c r="C39" s="97">
        <v>2.5000000000000001E-2</v>
      </c>
      <c r="D39" s="238">
        <f t="shared" ref="D39:D42" si="0">(C39*($D$25+$D$32))</f>
        <v>50.204513800000001</v>
      </c>
      <c r="E39" s="245"/>
      <c r="F39" s="84"/>
      <c r="G39" s="84"/>
      <c r="H39" s="84"/>
      <c r="I39" s="84"/>
    </row>
    <row r="40" spans="1:9" ht="12" customHeight="1" x14ac:dyDescent="0.25">
      <c r="A40" s="85" t="s">
        <v>41</v>
      </c>
      <c r="B40" s="100" t="s">
        <v>79</v>
      </c>
      <c r="C40" s="97">
        <v>0.08</v>
      </c>
      <c r="D40" s="238">
        <f t="shared" si="0"/>
        <v>160.65444416</v>
      </c>
      <c r="E40" s="245"/>
      <c r="F40" s="84"/>
      <c r="G40" s="84"/>
      <c r="H40" s="84"/>
      <c r="I40" s="84"/>
    </row>
    <row r="41" spans="1:9" ht="12" customHeight="1" x14ac:dyDescent="0.25">
      <c r="A41" s="85" t="s">
        <v>76</v>
      </c>
      <c r="B41" s="101" t="s">
        <v>299</v>
      </c>
      <c r="C41" s="102">
        <v>0.06</v>
      </c>
      <c r="D41" s="238">
        <f t="shared" si="0"/>
        <v>120.49083311999999</v>
      </c>
      <c r="E41" s="245"/>
      <c r="F41" s="84"/>
      <c r="G41" s="84"/>
      <c r="H41" s="84"/>
      <c r="I41" s="84"/>
    </row>
    <row r="42" spans="1:9" ht="12" customHeight="1" x14ac:dyDescent="0.25">
      <c r="A42" s="85" t="s">
        <v>78</v>
      </c>
      <c r="B42" s="100" t="s">
        <v>75</v>
      </c>
      <c r="C42" s="97">
        <v>6.0000000000000001E-3</v>
      </c>
      <c r="D42" s="238">
        <f t="shared" si="0"/>
        <v>12.049083311999999</v>
      </c>
      <c r="E42" s="245"/>
      <c r="F42" s="84"/>
      <c r="G42" s="84"/>
      <c r="H42" s="84"/>
      <c r="I42" s="84"/>
    </row>
    <row r="43" spans="1:9" ht="12" customHeight="1" x14ac:dyDescent="0.25">
      <c r="A43" s="84"/>
      <c r="B43" s="93" t="s">
        <v>291</v>
      </c>
      <c r="C43" s="99">
        <f>SUM(C35:C42)</f>
        <v>0.39800000000000008</v>
      </c>
      <c r="D43" s="236">
        <f>SUM(D35:E42)</f>
        <v>799.25585969600002</v>
      </c>
      <c r="E43" s="237"/>
    </row>
    <row r="44" spans="1:9" ht="12" customHeight="1" x14ac:dyDescent="0.25">
      <c r="A44" s="84"/>
      <c r="B44" s="226" t="s">
        <v>300</v>
      </c>
      <c r="C44" s="226"/>
      <c r="D44" s="226"/>
      <c r="E44" s="226"/>
      <c r="F44" s="84"/>
      <c r="G44" s="84"/>
      <c r="H44" s="84"/>
      <c r="I44" s="84"/>
    </row>
    <row r="45" spans="1:9" ht="12" customHeight="1" x14ac:dyDescent="0.25">
      <c r="A45" s="84"/>
      <c r="B45" s="88" t="s">
        <v>301</v>
      </c>
      <c r="C45" s="89"/>
      <c r="D45" s="229" t="s">
        <v>286</v>
      </c>
      <c r="E45" s="230"/>
      <c r="F45" s="84"/>
      <c r="G45" s="104" t="s">
        <v>302</v>
      </c>
      <c r="H45" s="104" t="s">
        <v>303</v>
      </c>
      <c r="I45" s="104" t="s">
        <v>304</v>
      </c>
    </row>
    <row r="46" spans="1:9" ht="12" customHeight="1" x14ac:dyDescent="0.25">
      <c r="A46" s="85" t="s">
        <v>28</v>
      </c>
      <c r="B46" s="96" t="s">
        <v>87</v>
      </c>
      <c r="C46" s="103"/>
      <c r="D46" s="216">
        <v>0</v>
      </c>
      <c r="E46" s="217"/>
      <c r="F46" s="84"/>
      <c r="G46" s="106"/>
      <c r="H46" s="107"/>
      <c r="I46" s="108"/>
    </row>
    <row r="47" spans="1:9" ht="12" customHeight="1" x14ac:dyDescent="0.25">
      <c r="A47" s="85" t="s">
        <v>31</v>
      </c>
      <c r="B47" s="96" t="s">
        <v>88</v>
      </c>
      <c r="C47" s="103"/>
      <c r="D47" s="216">
        <f>+I51</f>
        <v>368.01600000000002</v>
      </c>
      <c r="E47" s="217"/>
      <c r="F47" s="105"/>
    </row>
    <row r="48" spans="1:9" ht="12" customHeight="1" x14ac:dyDescent="0.25">
      <c r="A48" s="85" t="s">
        <v>34</v>
      </c>
      <c r="B48" s="109" t="s">
        <v>336</v>
      </c>
      <c r="C48" s="103"/>
      <c r="D48" s="216">
        <v>0</v>
      </c>
      <c r="E48" s="217"/>
      <c r="F48" s="105"/>
      <c r="G48" s="201" t="s">
        <v>305</v>
      </c>
      <c r="H48" s="202"/>
      <c r="I48" s="203"/>
    </row>
    <row r="49" spans="1:9" ht="12" customHeight="1" x14ac:dyDescent="0.25">
      <c r="A49" s="85" t="s">
        <v>36</v>
      </c>
      <c r="B49" s="109" t="s">
        <v>92</v>
      </c>
      <c r="C49" s="103"/>
      <c r="D49" s="216">
        <v>20</v>
      </c>
      <c r="E49" s="217"/>
      <c r="F49" s="105"/>
      <c r="G49" s="151"/>
      <c r="H49" s="152"/>
      <c r="I49" s="153"/>
    </row>
    <row r="50" spans="1:9" ht="12" customHeight="1" x14ac:dyDescent="0.25">
      <c r="A50" s="150" t="s">
        <v>39</v>
      </c>
      <c r="B50" s="109" t="s">
        <v>337</v>
      </c>
      <c r="C50" s="103"/>
      <c r="D50" s="216">
        <v>5</v>
      </c>
      <c r="E50" s="217"/>
      <c r="F50" s="105"/>
      <c r="G50" s="106" t="s">
        <v>302</v>
      </c>
      <c r="H50" s="106" t="s">
        <v>306</v>
      </c>
      <c r="I50" s="106" t="s">
        <v>304</v>
      </c>
    </row>
    <row r="51" spans="1:9" ht="12" customHeight="1" x14ac:dyDescent="0.25">
      <c r="A51" s="85" t="s">
        <v>41</v>
      </c>
      <c r="B51" s="109" t="s">
        <v>347</v>
      </c>
      <c r="C51" s="103"/>
      <c r="D51" s="216">
        <v>40</v>
      </c>
      <c r="E51" s="217"/>
      <c r="F51" s="105"/>
      <c r="G51" s="106">
        <v>22</v>
      </c>
      <c r="H51" s="111">
        <v>20.91</v>
      </c>
      <c r="I51" s="108">
        <f>+H51*G51*80%</f>
        <v>368.01600000000002</v>
      </c>
    </row>
    <row r="52" spans="1:9" ht="12" customHeight="1" x14ac:dyDescent="0.25">
      <c r="A52" s="84"/>
      <c r="B52" s="93" t="s">
        <v>180</v>
      </c>
      <c r="C52" s="110"/>
      <c r="D52" s="247">
        <f>SUM(D46:E51)</f>
        <v>433.01600000000002</v>
      </c>
      <c r="E52" s="247"/>
      <c r="F52" s="105"/>
    </row>
    <row r="53" spans="1:9" ht="12" customHeight="1" x14ac:dyDescent="0.25">
      <c r="A53" s="84"/>
      <c r="B53" s="226" t="s">
        <v>98</v>
      </c>
      <c r="C53" s="226"/>
      <c r="D53" s="226"/>
      <c r="E53" s="226"/>
      <c r="F53" s="105"/>
    </row>
    <row r="54" spans="1:9" ht="12" customHeight="1" x14ac:dyDescent="0.25">
      <c r="A54" s="84"/>
      <c r="B54" s="86" t="s">
        <v>307</v>
      </c>
      <c r="C54" s="112"/>
      <c r="D54" s="229" t="s">
        <v>286</v>
      </c>
      <c r="E54" s="230"/>
      <c r="F54" s="105"/>
      <c r="G54" s="84"/>
      <c r="H54" s="84"/>
      <c r="I54" s="84"/>
    </row>
    <row r="55" spans="1:9" ht="12" customHeight="1" x14ac:dyDescent="0.25">
      <c r="A55" s="85" t="s">
        <v>51</v>
      </c>
      <c r="B55" s="248" t="s">
        <v>178</v>
      </c>
      <c r="C55" s="249"/>
      <c r="D55" s="216">
        <f>+D32</f>
        <v>326.85055199999999</v>
      </c>
      <c r="E55" s="217"/>
      <c r="F55" s="84"/>
      <c r="G55" s="84"/>
      <c r="H55" s="84"/>
      <c r="I55" s="84"/>
    </row>
    <row r="56" spans="1:9" ht="12" customHeight="1" x14ac:dyDescent="0.25">
      <c r="A56" s="85" t="s">
        <v>67</v>
      </c>
      <c r="B56" s="248" t="s">
        <v>68</v>
      </c>
      <c r="C56" s="249"/>
      <c r="D56" s="216">
        <f>+D43</f>
        <v>799.25585969600002</v>
      </c>
      <c r="E56" s="217"/>
      <c r="F56" s="84"/>
      <c r="G56" s="84"/>
      <c r="H56" s="84"/>
      <c r="I56" s="84"/>
    </row>
    <row r="57" spans="1:9" ht="12" customHeight="1" x14ac:dyDescent="0.25">
      <c r="A57" s="85" t="s">
        <v>85</v>
      </c>
      <c r="B57" s="248" t="s">
        <v>86</v>
      </c>
      <c r="C57" s="249"/>
      <c r="D57" s="216">
        <f>+D52</f>
        <v>433.01600000000002</v>
      </c>
      <c r="E57" s="217"/>
      <c r="F57" s="84"/>
      <c r="G57" s="84"/>
      <c r="H57" s="84"/>
      <c r="I57" s="84"/>
    </row>
    <row r="58" spans="1:9" ht="12" customHeight="1" x14ac:dyDescent="0.25">
      <c r="A58" s="84"/>
      <c r="B58" s="250" t="s">
        <v>291</v>
      </c>
      <c r="C58" s="251"/>
      <c r="D58" s="247">
        <f>SUM(D55:E57)</f>
        <v>1559.1224116960002</v>
      </c>
      <c r="E58" s="247"/>
      <c r="F58" s="84"/>
      <c r="G58" s="84"/>
      <c r="H58" s="84"/>
      <c r="I58" s="84"/>
    </row>
    <row r="59" spans="1:9" ht="12" customHeight="1" x14ac:dyDescent="0.25">
      <c r="A59" s="84"/>
      <c r="B59" s="222" t="s">
        <v>308</v>
      </c>
      <c r="C59" s="223"/>
      <c r="D59" s="223"/>
      <c r="E59" s="252"/>
      <c r="F59" s="84"/>
      <c r="G59" s="84"/>
      <c r="H59" s="84"/>
      <c r="I59" s="84"/>
    </row>
    <row r="60" spans="1:9" ht="12" customHeight="1" x14ac:dyDescent="0.25">
      <c r="B60" s="253"/>
      <c r="C60" s="254"/>
      <c r="D60" s="254"/>
      <c r="E60" s="255"/>
      <c r="F60" s="84"/>
      <c r="G60" s="84"/>
      <c r="H60" s="84"/>
      <c r="I60" s="84"/>
    </row>
    <row r="61" spans="1:9" ht="12" customHeight="1" x14ac:dyDescent="0.25">
      <c r="A61" s="84"/>
      <c r="B61" s="86" t="s">
        <v>309</v>
      </c>
      <c r="C61" s="112"/>
      <c r="D61" s="229" t="s">
        <v>286</v>
      </c>
      <c r="E61" s="230"/>
      <c r="F61" s="113"/>
      <c r="G61" s="113"/>
      <c r="H61" s="113"/>
      <c r="I61" s="113"/>
    </row>
    <row r="62" spans="1:9" ht="12" customHeight="1" x14ac:dyDescent="0.25">
      <c r="A62" s="85" t="s">
        <v>28</v>
      </c>
      <c r="B62" s="114" t="s">
        <v>104</v>
      </c>
      <c r="C62" s="115">
        <v>4.1999999999999997E-3</v>
      </c>
      <c r="D62" s="238">
        <f t="shared" ref="D62:D67" si="1">C62*$D$25</f>
        <v>7.0615859999999993</v>
      </c>
      <c r="E62" s="237"/>
      <c r="F62" s="84"/>
      <c r="G62" s="84"/>
      <c r="H62" s="84"/>
      <c r="I62" s="84"/>
    </row>
    <row r="63" spans="1:9" ht="12" customHeight="1" x14ac:dyDescent="0.25">
      <c r="A63" s="85" t="s">
        <v>31</v>
      </c>
      <c r="B63" s="114" t="s">
        <v>310</v>
      </c>
      <c r="C63" s="116">
        <f>C62*C40</f>
        <v>3.3599999999999998E-4</v>
      </c>
      <c r="D63" s="238">
        <f t="shared" si="1"/>
        <v>0.56492687999999991</v>
      </c>
      <c r="E63" s="237"/>
      <c r="F63" s="84"/>
      <c r="G63" s="84"/>
      <c r="H63" s="84"/>
      <c r="I63" s="84"/>
    </row>
    <row r="64" spans="1:9" ht="12" customHeight="1" x14ac:dyDescent="0.25">
      <c r="A64" s="85" t="s">
        <v>34</v>
      </c>
      <c r="B64" s="114" t="s">
        <v>311</v>
      </c>
      <c r="C64" s="117">
        <v>1.6000000000000001E-3</v>
      </c>
      <c r="D64" s="238">
        <f t="shared" si="1"/>
        <v>2.6901280000000001</v>
      </c>
      <c r="E64" s="237"/>
      <c r="F64" s="84"/>
      <c r="G64" s="84"/>
      <c r="H64" s="84"/>
      <c r="I64" s="84"/>
    </row>
    <row r="65" spans="1:9" ht="12" customHeight="1" x14ac:dyDescent="0.25">
      <c r="A65" s="85" t="s">
        <v>36</v>
      </c>
      <c r="B65" s="114" t="s">
        <v>312</v>
      </c>
      <c r="C65" s="117">
        <v>1.8499999999999999E-2</v>
      </c>
      <c r="D65" s="238">
        <f t="shared" si="1"/>
        <v>31.104604999999996</v>
      </c>
      <c r="E65" s="237"/>
      <c r="F65" s="84"/>
      <c r="G65" s="84"/>
      <c r="H65" s="118"/>
      <c r="I65" s="84"/>
    </row>
    <row r="66" spans="1:9" ht="12" customHeight="1" x14ac:dyDescent="0.25">
      <c r="A66" s="85" t="s">
        <v>39</v>
      </c>
      <c r="B66" s="114" t="s">
        <v>181</v>
      </c>
      <c r="C66" s="116">
        <f>C65*C43</f>
        <v>7.3630000000000006E-3</v>
      </c>
      <c r="D66" s="238">
        <f>C66*$D$25</f>
        <v>12.37963279</v>
      </c>
      <c r="E66" s="237"/>
      <c r="F66" s="84"/>
      <c r="G66" s="84"/>
      <c r="H66" s="84"/>
      <c r="I66" s="84"/>
    </row>
    <row r="67" spans="1:9" ht="12" customHeight="1" x14ac:dyDescent="0.25">
      <c r="A67" s="85" t="s">
        <v>41</v>
      </c>
      <c r="B67" s="114" t="s">
        <v>108</v>
      </c>
      <c r="C67" s="117">
        <v>3.04E-2</v>
      </c>
      <c r="D67" s="238">
        <f t="shared" si="1"/>
        <v>51.112431999999998</v>
      </c>
      <c r="E67" s="237"/>
      <c r="F67" s="84"/>
      <c r="G67" s="84"/>
      <c r="H67" s="84"/>
      <c r="I67" s="84"/>
    </row>
    <row r="68" spans="1:9" ht="12" customHeight="1" x14ac:dyDescent="0.25">
      <c r="A68" s="84"/>
      <c r="B68" s="119" t="s">
        <v>180</v>
      </c>
      <c r="C68" s="120">
        <f>TRUNC(SUM(C62:C67),8)</f>
        <v>6.2399000000000003E-2</v>
      </c>
      <c r="D68" s="236">
        <f>SUM(D62:E67)</f>
        <v>104.91331066999999</v>
      </c>
      <c r="E68" s="237"/>
      <c r="F68" s="84"/>
      <c r="G68" s="84"/>
      <c r="H68" s="84"/>
      <c r="I68" s="84"/>
    </row>
    <row r="69" spans="1:9" ht="12" customHeight="1" x14ac:dyDescent="0.25">
      <c r="A69" s="84"/>
      <c r="B69" s="222" t="s">
        <v>313</v>
      </c>
      <c r="C69" s="223"/>
      <c r="D69" s="223"/>
      <c r="E69" s="252"/>
      <c r="F69" s="84"/>
      <c r="G69" s="84"/>
      <c r="H69" s="84"/>
      <c r="I69" s="84"/>
    </row>
    <row r="70" spans="1:9" ht="12" customHeight="1" x14ac:dyDescent="0.25">
      <c r="A70" s="84"/>
      <c r="B70" s="222"/>
      <c r="C70" s="223"/>
      <c r="D70" s="223"/>
      <c r="E70" s="252"/>
      <c r="F70" s="84"/>
      <c r="G70" s="84"/>
      <c r="H70" s="84"/>
      <c r="I70" s="84"/>
    </row>
    <row r="71" spans="1:9" ht="12" customHeight="1" x14ac:dyDescent="0.25">
      <c r="A71" s="84"/>
      <c r="B71" s="222" t="s">
        <v>121</v>
      </c>
      <c r="C71" s="223"/>
      <c r="D71" s="223"/>
      <c r="E71" s="252"/>
      <c r="F71" s="84"/>
      <c r="G71" s="84"/>
      <c r="H71" s="84"/>
      <c r="I71" s="84"/>
    </row>
    <row r="72" spans="1:9" ht="12" customHeight="1" x14ac:dyDescent="0.25">
      <c r="A72" s="84"/>
      <c r="B72" s="86" t="s">
        <v>314</v>
      </c>
      <c r="C72" s="112"/>
      <c r="D72" s="229" t="s">
        <v>286</v>
      </c>
      <c r="E72" s="230"/>
      <c r="F72" s="105"/>
      <c r="G72" s="84"/>
      <c r="H72" s="105"/>
      <c r="I72" s="84"/>
    </row>
    <row r="73" spans="1:9" ht="12" customHeight="1" x14ac:dyDescent="0.25">
      <c r="A73" s="85" t="s">
        <v>28</v>
      </c>
      <c r="B73" s="121" t="s">
        <v>125</v>
      </c>
      <c r="C73" s="116">
        <v>1.6203700000000001E-2</v>
      </c>
      <c r="D73" s="238">
        <f>C73*(D68+D58+D25)</f>
        <v>54.207302555501961</v>
      </c>
      <c r="E73" s="237"/>
      <c r="F73" s="84"/>
      <c r="G73" s="84"/>
      <c r="H73" s="105"/>
      <c r="I73" s="84"/>
    </row>
    <row r="74" spans="1:9" ht="12" customHeight="1" x14ac:dyDescent="0.25">
      <c r="A74" s="85" t="s">
        <v>31</v>
      </c>
      <c r="B74" s="121" t="s">
        <v>126</v>
      </c>
      <c r="C74" s="115">
        <v>5.5555999999999999E-3</v>
      </c>
      <c r="D74" s="238">
        <f>C74*(D68+D58+D25)</f>
        <v>18.58551380717655</v>
      </c>
      <c r="E74" s="237"/>
      <c r="F74" s="84"/>
      <c r="G74" s="84"/>
      <c r="H74" s="105"/>
      <c r="I74" s="84"/>
    </row>
    <row r="75" spans="1:9" ht="12" customHeight="1" x14ac:dyDescent="0.25">
      <c r="A75" s="85" t="s">
        <v>34</v>
      </c>
      <c r="B75" s="121" t="s">
        <v>127</v>
      </c>
      <c r="C75" s="115">
        <v>2.7779999999999998E-4</v>
      </c>
      <c r="D75" s="238">
        <f>C75*(D68+D58+D25)</f>
        <v>0.92934259767327476</v>
      </c>
      <c r="E75" s="237"/>
      <c r="F75" s="84"/>
      <c r="G75" s="84"/>
      <c r="H75" s="105"/>
      <c r="I75" s="84"/>
    </row>
    <row r="76" spans="1:9" ht="12" customHeight="1" x14ac:dyDescent="0.25">
      <c r="A76" s="85" t="s">
        <v>36</v>
      </c>
      <c r="B76" s="121" t="s">
        <v>128</v>
      </c>
      <c r="C76" s="115">
        <v>3.3333333000000001E-3</v>
      </c>
      <c r="D76" s="238">
        <f>C76*(D68+D58+D25)</f>
        <v>11.151218963041144</v>
      </c>
      <c r="E76" s="237"/>
      <c r="F76" s="84"/>
      <c r="G76" s="84"/>
      <c r="H76" s="105"/>
      <c r="I76" s="84"/>
    </row>
    <row r="77" spans="1:9" ht="12" customHeight="1" x14ac:dyDescent="0.25">
      <c r="A77" s="85" t="s">
        <v>39</v>
      </c>
      <c r="B77" s="121" t="s">
        <v>129</v>
      </c>
      <c r="C77" s="115">
        <v>1.1111000000000001E-3</v>
      </c>
      <c r="D77" s="238">
        <f>C77*(D68+D58+D25)</f>
        <v>3.717035854120863</v>
      </c>
      <c r="E77" s="237"/>
      <c r="F77" s="84"/>
      <c r="G77" s="84"/>
      <c r="H77" s="105"/>
      <c r="I77" s="84"/>
    </row>
    <row r="78" spans="1:9" ht="12" customHeight="1" x14ac:dyDescent="0.25">
      <c r="A78" s="85" t="s">
        <v>41</v>
      </c>
      <c r="B78" s="121" t="s">
        <v>182</v>
      </c>
      <c r="C78" s="115">
        <v>0</v>
      </c>
      <c r="D78" s="238">
        <f t="shared" ref="D78" si="2">C78*$D$25</f>
        <v>0</v>
      </c>
      <c r="E78" s="237"/>
      <c r="F78" s="84"/>
      <c r="G78" s="84"/>
      <c r="H78" s="105"/>
      <c r="I78" s="84"/>
    </row>
    <row r="79" spans="1:9" ht="12" customHeight="1" x14ac:dyDescent="0.25">
      <c r="A79" s="84"/>
      <c r="B79" s="119" t="s">
        <v>291</v>
      </c>
      <c r="C79" s="122">
        <f>SUM(C73:C78)</f>
        <v>2.6481533300000006E-2</v>
      </c>
      <c r="D79" s="236">
        <f>SUM(D73:E78)</f>
        <v>88.590413777513788</v>
      </c>
      <c r="E79" s="237"/>
      <c r="F79" s="84"/>
      <c r="G79" s="84"/>
      <c r="H79" s="105"/>
      <c r="I79" s="84"/>
    </row>
    <row r="80" spans="1:9" ht="12" customHeight="1" x14ac:dyDescent="0.25">
      <c r="A80" s="84"/>
      <c r="B80" s="253"/>
      <c r="C80" s="254"/>
      <c r="D80" s="254"/>
      <c r="E80" s="255"/>
      <c r="F80" s="84"/>
      <c r="G80" s="84"/>
      <c r="H80" s="105"/>
      <c r="I80" s="84"/>
    </row>
    <row r="81" spans="1:9" ht="12" customHeight="1" x14ac:dyDescent="0.25">
      <c r="A81" s="84"/>
      <c r="B81" s="86" t="s">
        <v>315</v>
      </c>
      <c r="C81" s="112"/>
      <c r="D81" s="229" t="s">
        <v>286</v>
      </c>
      <c r="E81" s="230"/>
      <c r="F81" s="84"/>
      <c r="G81" s="84"/>
      <c r="H81" s="84"/>
      <c r="I81" s="84"/>
    </row>
    <row r="82" spans="1:9" ht="12" customHeight="1" x14ac:dyDescent="0.25">
      <c r="A82" s="85" t="s">
        <v>28</v>
      </c>
      <c r="B82" s="123" t="s">
        <v>143</v>
      </c>
      <c r="C82" s="115">
        <v>0</v>
      </c>
      <c r="D82" s="258">
        <f>TRUNC(C82*$D$25,2)</f>
        <v>0</v>
      </c>
      <c r="E82" s="259"/>
      <c r="F82" s="84"/>
      <c r="G82" s="84"/>
      <c r="H82" s="84"/>
      <c r="I82" s="84"/>
    </row>
    <row r="83" spans="1:9" ht="12" customHeight="1" x14ac:dyDescent="0.25">
      <c r="A83" s="84"/>
      <c r="B83" s="119" t="s">
        <v>291</v>
      </c>
      <c r="C83" s="122">
        <f>SUM(C82:C82)</f>
        <v>0</v>
      </c>
      <c r="D83" s="236">
        <f>SUM(D82:E82)</f>
        <v>0</v>
      </c>
      <c r="E83" s="237"/>
      <c r="F83" s="84"/>
      <c r="G83" s="84"/>
      <c r="H83" s="84"/>
      <c r="I83" s="84"/>
    </row>
    <row r="84" spans="1:9" ht="12" customHeight="1" x14ac:dyDescent="0.25">
      <c r="A84" s="84"/>
      <c r="B84" s="222" t="s">
        <v>144</v>
      </c>
      <c r="C84" s="223"/>
      <c r="D84" s="223"/>
      <c r="E84" s="252"/>
      <c r="F84" s="84"/>
      <c r="G84" s="84"/>
      <c r="H84" s="84"/>
      <c r="I84" s="84"/>
    </row>
    <row r="85" spans="1:9" ht="12" customHeight="1" x14ac:dyDescent="0.25">
      <c r="A85" s="84"/>
      <c r="B85" s="86" t="s">
        <v>316</v>
      </c>
      <c r="C85" s="112"/>
      <c r="D85" s="229" t="s">
        <v>286</v>
      </c>
      <c r="E85" s="230"/>
      <c r="F85" s="84"/>
      <c r="G85" s="84"/>
      <c r="H85" s="84"/>
      <c r="I85" s="84"/>
    </row>
    <row r="86" spans="1:9" ht="12" customHeight="1" x14ac:dyDescent="0.25">
      <c r="A86" s="85" t="s">
        <v>122</v>
      </c>
      <c r="B86" s="256" t="s">
        <v>123</v>
      </c>
      <c r="C86" s="257"/>
      <c r="D86" s="238">
        <f>D79</f>
        <v>88.590413777513788</v>
      </c>
      <c r="E86" s="237"/>
      <c r="F86" s="84"/>
      <c r="G86" s="84"/>
      <c r="H86" s="84"/>
      <c r="I86" s="84"/>
    </row>
    <row r="87" spans="1:9" ht="12" customHeight="1" x14ac:dyDescent="0.25">
      <c r="A87" s="85" t="s">
        <v>141</v>
      </c>
      <c r="B87" s="256" t="s">
        <v>147</v>
      </c>
      <c r="C87" s="257"/>
      <c r="D87" s="238">
        <f>D83</f>
        <v>0</v>
      </c>
      <c r="E87" s="237"/>
      <c r="F87" s="84"/>
      <c r="G87" s="84"/>
      <c r="H87" s="84"/>
      <c r="I87" s="84"/>
    </row>
    <row r="88" spans="1:9" ht="12" customHeight="1" x14ac:dyDescent="0.25">
      <c r="A88" s="84"/>
      <c r="B88" s="250" t="s">
        <v>180</v>
      </c>
      <c r="C88" s="251"/>
      <c r="D88" s="236">
        <f>SUM(D86:E87)</f>
        <v>88.590413777513788</v>
      </c>
      <c r="E88" s="237"/>
      <c r="F88" s="84"/>
      <c r="G88" s="84"/>
      <c r="H88" s="84"/>
      <c r="I88" s="84"/>
    </row>
    <row r="89" spans="1:9" ht="12" customHeight="1" x14ac:dyDescent="0.25">
      <c r="A89" s="84"/>
      <c r="B89" s="222" t="s">
        <v>317</v>
      </c>
      <c r="C89" s="223"/>
      <c r="D89" s="223"/>
      <c r="E89" s="252"/>
      <c r="F89" s="84"/>
      <c r="G89" s="84"/>
      <c r="H89" s="84"/>
      <c r="I89" s="84"/>
    </row>
    <row r="90" spans="1:9" ht="12" customHeight="1" x14ac:dyDescent="0.25">
      <c r="A90" s="84"/>
      <c r="B90" s="222"/>
      <c r="C90" s="223"/>
      <c r="D90" s="223"/>
      <c r="E90" s="252"/>
      <c r="F90" s="84"/>
      <c r="G90" s="84"/>
      <c r="H90" s="84"/>
      <c r="I90" s="84"/>
    </row>
    <row r="91" spans="1:9" ht="12" customHeight="1" x14ac:dyDescent="0.25">
      <c r="A91" s="84"/>
      <c r="B91" s="88" t="s">
        <v>318</v>
      </c>
      <c r="C91" s="89"/>
      <c r="D91" s="229" t="s">
        <v>286</v>
      </c>
      <c r="E91" s="230"/>
      <c r="F91" s="84"/>
      <c r="G91" s="84"/>
      <c r="H91" s="84"/>
      <c r="I91" s="84"/>
    </row>
    <row r="92" spans="1:9" ht="12" customHeight="1" x14ac:dyDescent="0.25">
      <c r="A92" s="85" t="s">
        <v>28</v>
      </c>
      <c r="B92" s="96" t="s">
        <v>151</v>
      </c>
      <c r="C92" s="103"/>
      <c r="D92" s="216">
        <f>Uniformes!F11</f>
        <v>0</v>
      </c>
      <c r="E92" s="217"/>
      <c r="F92" s="84"/>
      <c r="G92" s="84"/>
      <c r="H92" s="84"/>
      <c r="I92" s="84"/>
    </row>
    <row r="93" spans="1:9" ht="12" customHeight="1" x14ac:dyDescent="0.25">
      <c r="A93" s="85" t="s">
        <v>31</v>
      </c>
      <c r="B93" s="96" t="s">
        <v>152</v>
      </c>
      <c r="C93" s="103"/>
      <c r="D93" s="216">
        <v>0</v>
      </c>
      <c r="E93" s="217"/>
      <c r="F93" s="84"/>
      <c r="G93" s="84"/>
      <c r="H93" s="84"/>
      <c r="I93" s="84"/>
    </row>
    <row r="94" spans="1:9" ht="12" customHeight="1" x14ac:dyDescent="0.25">
      <c r="A94" s="85" t="s">
        <v>34</v>
      </c>
      <c r="B94" s="96" t="s">
        <v>153</v>
      </c>
      <c r="C94" s="103"/>
      <c r="D94" s="216">
        <v>0</v>
      </c>
      <c r="E94" s="217"/>
      <c r="F94" s="84"/>
      <c r="G94" s="84"/>
      <c r="H94" s="84"/>
      <c r="I94" s="84"/>
    </row>
    <row r="95" spans="1:9" ht="12" customHeight="1" x14ac:dyDescent="0.25">
      <c r="A95" s="85" t="s">
        <v>36</v>
      </c>
      <c r="B95" s="109" t="s">
        <v>42</v>
      </c>
      <c r="C95" s="103"/>
      <c r="D95" s="216">
        <v>0</v>
      </c>
      <c r="E95" s="217"/>
      <c r="F95" s="84"/>
      <c r="G95" s="84"/>
      <c r="H95" s="84"/>
      <c r="I95" s="84"/>
    </row>
    <row r="96" spans="1:9" ht="12" customHeight="1" x14ac:dyDescent="0.25">
      <c r="A96" s="84"/>
      <c r="B96" s="93" t="s">
        <v>319</v>
      </c>
      <c r="C96" s="110"/>
      <c r="D96" s="247">
        <f>SUM(D92:E95)</f>
        <v>0</v>
      </c>
      <c r="E96" s="247"/>
      <c r="F96" s="84"/>
      <c r="G96" s="84"/>
      <c r="H96" s="84"/>
      <c r="I96" s="84"/>
    </row>
    <row r="97" spans="1:9" ht="12" customHeight="1" x14ac:dyDescent="0.25">
      <c r="A97" s="84"/>
      <c r="B97" s="222" t="s">
        <v>320</v>
      </c>
      <c r="C97" s="223"/>
      <c r="D97" s="223"/>
      <c r="E97" s="252"/>
      <c r="F97" s="84"/>
      <c r="G97" s="84"/>
      <c r="H97" s="84"/>
      <c r="I97" s="84"/>
    </row>
    <row r="98" spans="1:9" ht="12" customHeight="1" x14ac:dyDescent="0.25">
      <c r="A98" s="84"/>
      <c r="B98" s="222"/>
      <c r="C98" s="223"/>
      <c r="D98" s="223"/>
      <c r="E98" s="252"/>
      <c r="F98" s="84"/>
      <c r="G98" s="84"/>
      <c r="H98" s="84"/>
      <c r="I98" s="84"/>
    </row>
    <row r="99" spans="1:9" ht="12" customHeight="1" x14ac:dyDescent="0.25">
      <c r="A99" s="84"/>
      <c r="B99" s="124" t="s">
        <v>321</v>
      </c>
      <c r="C99" s="88"/>
      <c r="D99" s="229" t="s">
        <v>286</v>
      </c>
      <c r="E99" s="230"/>
      <c r="F99" s="84"/>
      <c r="G99" s="84"/>
      <c r="H99" s="84"/>
      <c r="I99" s="84"/>
    </row>
    <row r="100" spans="1:9" ht="12" customHeight="1" x14ac:dyDescent="0.25">
      <c r="A100" s="85" t="s">
        <v>28</v>
      </c>
      <c r="B100" s="100" t="s">
        <v>322</v>
      </c>
      <c r="C100" s="125">
        <v>0</v>
      </c>
      <c r="D100" s="238">
        <f>C100*D115</f>
        <v>0</v>
      </c>
      <c r="E100" s="245"/>
      <c r="F100" s="84"/>
      <c r="G100" s="84"/>
      <c r="H100" s="84"/>
      <c r="I100" s="84"/>
    </row>
    <row r="101" spans="1:9" ht="12" customHeight="1" x14ac:dyDescent="0.25">
      <c r="A101" s="85" t="s">
        <v>31</v>
      </c>
      <c r="B101" s="100" t="s">
        <v>323</v>
      </c>
      <c r="C101" s="125">
        <v>0</v>
      </c>
      <c r="D101" s="238">
        <f>(D100+D115)*C101</f>
        <v>0</v>
      </c>
      <c r="E101" s="237"/>
      <c r="F101" s="84"/>
      <c r="G101" s="84"/>
      <c r="H101" s="84"/>
      <c r="I101" s="84"/>
    </row>
    <row r="102" spans="1:9" ht="12" customHeight="1" x14ac:dyDescent="0.25">
      <c r="A102" s="126" t="s">
        <v>34</v>
      </c>
      <c r="B102" s="127" t="s">
        <v>324</v>
      </c>
      <c r="C102" s="128"/>
      <c r="D102" s="269"/>
      <c r="E102" s="270"/>
      <c r="F102" s="84"/>
      <c r="G102" s="84"/>
      <c r="H102" s="84"/>
      <c r="I102" s="84"/>
    </row>
    <row r="103" spans="1:9" ht="12" customHeight="1" x14ac:dyDescent="0.25">
      <c r="A103" s="129"/>
      <c r="B103" s="130" t="s">
        <v>325</v>
      </c>
      <c r="C103" s="131">
        <v>0.05</v>
      </c>
      <c r="D103" s="238">
        <f>($D100+$D101+$D115)/(1-$C$106)*C103</f>
        <v>187.95600088360777</v>
      </c>
      <c r="E103" s="245"/>
      <c r="F103" s="129"/>
      <c r="G103" s="129"/>
      <c r="H103" s="129"/>
      <c r="I103" s="129"/>
    </row>
    <row r="104" spans="1:9" ht="12" customHeight="1" x14ac:dyDescent="0.25">
      <c r="A104" s="84"/>
      <c r="B104" s="132" t="s">
        <v>326</v>
      </c>
      <c r="C104" s="125">
        <v>0.03</v>
      </c>
      <c r="D104" s="238">
        <f>($D100+$D101+$D115)/(1-$C$106)*C104</f>
        <v>112.77360053016466</v>
      </c>
      <c r="E104" s="245"/>
      <c r="F104" s="84"/>
      <c r="G104" s="84"/>
      <c r="H104" s="84"/>
      <c r="I104" s="84"/>
    </row>
    <row r="105" spans="1:9" ht="12" customHeight="1" x14ac:dyDescent="0.25">
      <c r="A105" s="84"/>
      <c r="B105" s="132" t="s">
        <v>327</v>
      </c>
      <c r="C105" s="125">
        <v>6.4999999999999997E-3</v>
      </c>
      <c r="D105" s="238">
        <f>($D100+$D101+$D115)/(1-$C$106)*C105</f>
        <v>24.434280114869008</v>
      </c>
      <c r="E105" s="245"/>
      <c r="F105" s="84"/>
      <c r="G105" s="84"/>
      <c r="H105" s="84"/>
      <c r="I105" s="84"/>
    </row>
    <row r="106" spans="1:9" ht="12" customHeight="1" x14ac:dyDescent="0.25">
      <c r="A106" s="84"/>
      <c r="B106" s="126" t="s">
        <v>328</v>
      </c>
      <c r="C106" s="120">
        <f>TRUNC(SUM(C103:C105),8)</f>
        <v>8.6499999999999994E-2</v>
      </c>
      <c r="D106" s="236">
        <f>SUM(D100:E105)</f>
        <v>325.16388152864147</v>
      </c>
      <c r="E106" s="237"/>
      <c r="F106" s="84"/>
      <c r="G106" s="84"/>
      <c r="H106" s="84"/>
      <c r="I106" s="84"/>
    </row>
    <row r="107" spans="1:9" ht="12" customHeight="1" x14ac:dyDescent="0.25">
      <c r="A107" s="84"/>
      <c r="B107" s="226" t="s">
        <v>329</v>
      </c>
      <c r="C107" s="226"/>
      <c r="D107" s="226"/>
      <c r="E107" s="226"/>
      <c r="F107" s="84"/>
      <c r="G107" s="84"/>
      <c r="H107" s="84"/>
      <c r="I107" s="84"/>
    </row>
    <row r="108" spans="1:9" ht="12" customHeight="1" x14ac:dyDescent="0.25">
      <c r="A108" s="84"/>
      <c r="B108" s="226"/>
      <c r="C108" s="226"/>
      <c r="D108" s="226"/>
      <c r="E108" s="226"/>
      <c r="F108" s="84"/>
      <c r="G108" s="84"/>
      <c r="H108" s="84"/>
      <c r="I108" s="84"/>
    </row>
    <row r="109" spans="1:9" ht="12" customHeight="1" x14ac:dyDescent="0.25">
      <c r="A109" s="84"/>
      <c r="B109" s="227" t="s">
        <v>330</v>
      </c>
      <c r="C109" s="228"/>
      <c r="D109" s="229" t="s">
        <v>286</v>
      </c>
      <c r="E109" s="230"/>
      <c r="F109" s="84"/>
      <c r="G109" s="84"/>
      <c r="H109" s="84"/>
      <c r="I109" s="84"/>
    </row>
    <row r="110" spans="1:9" ht="12" customHeight="1" x14ac:dyDescent="0.25">
      <c r="A110" s="85" t="s">
        <v>28</v>
      </c>
      <c r="B110" s="268" t="s">
        <v>331</v>
      </c>
      <c r="C110" s="263"/>
      <c r="D110" s="216">
        <f>+D25</f>
        <v>1681.33</v>
      </c>
      <c r="E110" s="217"/>
      <c r="F110" s="84"/>
      <c r="G110" s="84"/>
      <c r="H110" s="84"/>
      <c r="I110" s="84"/>
    </row>
    <row r="111" spans="1:9" ht="12" customHeight="1" x14ac:dyDescent="0.25">
      <c r="A111" s="85" t="s">
        <v>31</v>
      </c>
      <c r="B111" s="268" t="s">
        <v>47</v>
      </c>
      <c r="C111" s="263"/>
      <c r="D111" s="216">
        <f>D58</f>
        <v>1559.1224116960002</v>
      </c>
      <c r="E111" s="217"/>
      <c r="F111" s="84"/>
      <c r="G111" s="84"/>
      <c r="H111" s="84"/>
      <c r="I111" s="84"/>
    </row>
    <row r="112" spans="1:9" ht="12" customHeight="1" x14ac:dyDescent="0.25">
      <c r="A112" s="85" t="s">
        <v>34</v>
      </c>
      <c r="B112" s="268" t="s">
        <v>101</v>
      </c>
      <c r="C112" s="263"/>
      <c r="D112" s="216">
        <f>D68</f>
        <v>104.91331066999999</v>
      </c>
      <c r="E112" s="217"/>
      <c r="F112" s="84"/>
      <c r="G112" s="84"/>
      <c r="H112" s="84"/>
      <c r="I112" s="84"/>
    </row>
    <row r="113" spans="1:9" ht="12" customHeight="1" x14ac:dyDescent="0.25">
      <c r="A113" s="133" t="s">
        <v>36</v>
      </c>
      <c r="B113" s="268" t="s">
        <v>170</v>
      </c>
      <c r="C113" s="263"/>
      <c r="D113" s="216">
        <f>D88</f>
        <v>88.590413777513788</v>
      </c>
      <c r="E113" s="217"/>
      <c r="F113" s="84"/>
      <c r="G113" s="84"/>
      <c r="H113" s="84"/>
      <c r="I113" s="84"/>
    </row>
    <row r="114" spans="1:9" ht="12" customHeight="1" x14ac:dyDescent="0.25">
      <c r="A114" s="134" t="s">
        <v>39</v>
      </c>
      <c r="B114" s="262" t="s">
        <v>148</v>
      </c>
      <c r="C114" s="263"/>
      <c r="D114" s="216">
        <f>D96</f>
        <v>0</v>
      </c>
      <c r="E114" s="217"/>
      <c r="F114" s="84"/>
      <c r="G114" s="84"/>
      <c r="H114" s="84"/>
      <c r="I114" s="84"/>
    </row>
    <row r="115" spans="1:9" ht="12" customHeight="1" x14ac:dyDescent="0.25">
      <c r="A115" s="84"/>
      <c r="B115" s="264" t="s">
        <v>332</v>
      </c>
      <c r="C115" s="265"/>
      <c r="D115" s="266">
        <f>SUM(D110:E114)</f>
        <v>3433.956136143514</v>
      </c>
      <c r="E115" s="267"/>
      <c r="F115" s="84"/>
      <c r="G115" s="84"/>
      <c r="H115" s="84"/>
      <c r="I115" s="84"/>
    </row>
    <row r="116" spans="1:9" ht="12" customHeight="1" x14ac:dyDescent="0.25">
      <c r="A116" s="85" t="s">
        <v>41</v>
      </c>
      <c r="B116" s="268" t="s">
        <v>333</v>
      </c>
      <c r="C116" s="263"/>
      <c r="D116" s="244">
        <f>+D106</f>
        <v>325.16388152864147</v>
      </c>
      <c r="E116" s="244"/>
      <c r="F116" s="84"/>
      <c r="G116" s="84"/>
      <c r="H116" s="84"/>
      <c r="I116" s="84"/>
    </row>
    <row r="117" spans="1:9" ht="12" customHeight="1" x14ac:dyDescent="0.25">
      <c r="A117" s="84"/>
      <c r="B117" s="260" t="s">
        <v>334</v>
      </c>
      <c r="C117" s="261"/>
      <c r="D117" s="236">
        <f>+D115+D116</f>
        <v>3759.1200176721554</v>
      </c>
      <c r="E117" s="237"/>
      <c r="F117" s="84"/>
      <c r="G117" s="84"/>
      <c r="H117" s="84"/>
      <c r="I117" s="84"/>
    </row>
  </sheetData>
  <mergeCells count="144">
    <mergeCell ref="B110:C110"/>
    <mergeCell ref="D110:E110"/>
    <mergeCell ref="B111:C111"/>
    <mergeCell ref="D111:E111"/>
    <mergeCell ref="B112:C112"/>
    <mergeCell ref="D112:E112"/>
    <mergeCell ref="D105:E105"/>
    <mergeCell ref="D106:E106"/>
    <mergeCell ref="B107:E107"/>
    <mergeCell ref="B108:E108"/>
    <mergeCell ref="B109:C109"/>
    <mergeCell ref="D109:E109"/>
    <mergeCell ref="B116:C116"/>
    <mergeCell ref="D116:E116"/>
    <mergeCell ref="B117:C117"/>
    <mergeCell ref="D117:E117"/>
    <mergeCell ref="B113:C113"/>
    <mergeCell ref="D113:E113"/>
    <mergeCell ref="B114:C114"/>
    <mergeCell ref="D114:E114"/>
    <mergeCell ref="B115:C115"/>
    <mergeCell ref="D115:E115"/>
    <mergeCell ref="D100:E100"/>
    <mergeCell ref="D101:E101"/>
    <mergeCell ref="D102:E102"/>
    <mergeCell ref="D103:E103"/>
    <mergeCell ref="D104:E104"/>
    <mergeCell ref="D93:E93"/>
    <mergeCell ref="D94:E94"/>
    <mergeCell ref="D95:E95"/>
    <mergeCell ref="D96:E96"/>
    <mergeCell ref="B97:E97"/>
    <mergeCell ref="B98:E98"/>
    <mergeCell ref="D99:E99"/>
    <mergeCell ref="B88:C88"/>
    <mergeCell ref="D88:E88"/>
    <mergeCell ref="B89:E89"/>
    <mergeCell ref="B90:E90"/>
    <mergeCell ref="D91:E91"/>
    <mergeCell ref="D92:E92"/>
    <mergeCell ref="D83:E83"/>
    <mergeCell ref="B84:E84"/>
    <mergeCell ref="D85:E85"/>
    <mergeCell ref="B86:C86"/>
    <mergeCell ref="D86:E86"/>
    <mergeCell ref="B87:C87"/>
    <mergeCell ref="D87:E87"/>
    <mergeCell ref="D77:E77"/>
    <mergeCell ref="D78:E78"/>
    <mergeCell ref="D79:E79"/>
    <mergeCell ref="B80:E80"/>
    <mergeCell ref="D81:E81"/>
    <mergeCell ref="D82:E82"/>
    <mergeCell ref="B71:E71"/>
    <mergeCell ref="D72:E72"/>
    <mergeCell ref="D73:E73"/>
    <mergeCell ref="D74:E74"/>
    <mergeCell ref="D75:E75"/>
    <mergeCell ref="D76:E76"/>
    <mergeCell ref="D65:E65"/>
    <mergeCell ref="D66:E66"/>
    <mergeCell ref="D67:E67"/>
    <mergeCell ref="D68:E68"/>
    <mergeCell ref="B69:E69"/>
    <mergeCell ref="B70:E70"/>
    <mergeCell ref="B59:E59"/>
    <mergeCell ref="B60:E60"/>
    <mergeCell ref="D61:E61"/>
    <mergeCell ref="D62:E62"/>
    <mergeCell ref="D63:E63"/>
    <mergeCell ref="D64:E64"/>
    <mergeCell ref="B56:C56"/>
    <mergeCell ref="D56:E56"/>
    <mergeCell ref="B57:C57"/>
    <mergeCell ref="D57:E57"/>
    <mergeCell ref="B58:C58"/>
    <mergeCell ref="D58:E58"/>
    <mergeCell ref="D52:E52"/>
    <mergeCell ref="B53:E53"/>
    <mergeCell ref="D54:E54"/>
    <mergeCell ref="B55:C55"/>
    <mergeCell ref="D55:E55"/>
    <mergeCell ref="D45:E45"/>
    <mergeCell ref="D46:E46"/>
    <mergeCell ref="D47:E47"/>
    <mergeCell ref="D48:E48"/>
    <mergeCell ref="D49:E49"/>
    <mergeCell ref="D51:E51"/>
    <mergeCell ref="D39:E39"/>
    <mergeCell ref="D40:E40"/>
    <mergeCell ref="D41:E41"/>
    <mergeCell ref="D42:E42"/>
    <mergeCell ref="D43:E43"/>
    <mergeCell ref="B44:E44"/>
    <mergeCell ref="D50:E50"/>
    <mergeCell ref="B33:E33"/>
    <mergeCell ref="D34:E34"/>
    <mergeCell ref="D35:E35"/>
    <mergeCell ref="D36:E36"/>
    <mergeCell ref="D37:E37"/>
    <mergeCell ref="D38:E38"/>
    <mergeCell ref="B27:E27"/>
    <mergeCell ref="B28:E28"/>
    <mergeCell ref="D29:E29"/>
    <mergeCell ref="D30:E30"/>
    <mergeCell ref="D31:E31"/>
    <mergeCell ref="D32:E32"/>
    <mergeCell ref="D15:E15"/>
    <mergeCell ref="B23:C23"/>
    <mergeCell ref="D23:E23"/>
    <mergeCell ref="B24:C24"/>
    <mergeCell ref="D24:E24"/>
    <mergeCell ref="D25:E25"/>
    <mergeCell ref="B26:E26"/>
    <mergeCell ref="B20:C20"/>
    <mergeCell ref="D20:E20"/>
    <mergeCell ref="B21:C21"/>
    <mergeCell ref="D21:E21"/>
    <mergeCell ref="B22:C22"/>
    <mergeCell ref="D22:E22"/>
    <mergeCell ref="G48:I48"/>
    <mergeCell ref="B7:C7"/>
    <mergeCell ref="D7:E7"/>
    <mergeCell ref="D8:E8"/>
    <mergeCell ref="B9:C9"/>
    <mergeCell ref="D9:E9"/>
    <mergeCell ref="B10:E10"/>
    <mergeCell ref="B1:E1"/>
    <mergeCell ref="B2:E2"/>
    <mergeCell ref="B3:E4"/>
    <mergeCell ref="B5:E5"/>
    <mergeCell ref="D6:E6"/>
    <mergeCell ref="B16:E16"/>
    <mergeCell ref="B17:E17"/>
    <mergeCell ref="B18:C18"/>
    <mergeCell ref="D18:E18"/>
    <mergeCell ref="B19:C19"/>
    <mergeCell ref="D19:E19"/>
    <mergeCell ref="B11:E11"/>
    <mergeCell ref="B13:B14"/>
    <mergeCell ref="C13:C14"/>
    <mergeCell ref="D13:D14"/>
    <mergeCell ref="E13:E14"/>
    <mergeCell ref="B15:C15"/>
  </mergeCells>
  <pageMargins left="0.75" right="0.75" top="1" bottom="1" header="0.5" footer="0.5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77"/>
  <sheetViews>
    <sheetView topLeftCell="A68" zoomScale="85" zoomScaleNormal="85" zoomScaleSheetLayoutView="100" workbookViewId="0">
      <selection activeCell="F78" sqref="F78"/>
    </sheetView>
  </sheetViews>
  <sheetFormatPr defaultColWidth="9" defaultRowHeight="15" x14ac:dyDescent="0.25"/>
  <cols>
    <col min="1" max="1" width="8.7109375" style="55" customWidth="1"/>
    <col min="2" max="2" width="64" style="53" bestFit="1" customWidth="1"/>
    <col min="3" max="3" width="12.28515625" style="53" customWidth="1"/>
    <col min="4" max="4" width="23" style="53" bestFit="1" customWidth="1"/>
    <col min="5" max="5" width="17.140625" style="53" bestFit="1" customWidth="1"/>
    <col min="6" max="6" width="18.28515625" style="53" bestFit="1" customWidth="1"/>
    <col min="7" max="7" width="9" style="53"/>
    <col min="8" max="8" width="8.42578125" style="53" customWidth="1"/>
    <col min="9" max="9" width="9" style="53"/>
    <col min="10" max="10" width="12.140625" style="53" bestFit="1" customWidth="1"/>
    <col min="11" max="12" width="12.5703125" style="53" bestFit="1" customWidth="1"/>
    <col min="13" max="13" width="20.7109375" style="53" bestFit="1" customWidth="1"/>
    <col min="14" max="14" width="14.7109375" style="53" customWidth="1"/>
    <col min="15" max="15" width="12.5703125" style="53" bestFit="1" customWidth="1"/>
    <col min="16" max="16" width="14.140625" style="53" bestFit="1" customWidth="1"/>
    <col min="17" max="17" width="9" style="53"/>
    <col min="18" max="18" width="13.7109375" style="53" bestFit="1" customWidth="1"/>
    <col min="19" max="16384" width="9" style="53"/>
  </cols>
  <sheetData>
    <row r="1" spans="1:8" x14ac:dyDescent="0.25">
      <c r="A1" s="273" t="s">
        <v>242</v>
      </c>
      <c r="B1" s="273"/>
      <c r="C1" s="273"/>
      <c r="D1" s="273"/>
      <c r="E1" s="273"/>
      <c r="F1" s="273"/>
    </row>
    <row r="2" spans="1:8" ht="15.75" thickBot="1" x14ac:dyDescent="0.3">
      <c r="A2" s="50" t="s">
        <v>185</v>
      </c>
      <c r="B2" s="50" t="s">
        <v>186</v>
      </c>
      <c r="C2" s="50" t="s">
        <v>187</v>
      </c>
      <c r="D2" s="50" t="s">
        <v>378</v>
      </c>
      <c r="E2" s="50" t="s">
        <v>188</v>
      </c>
      <c r="F2" s="50" t="s">
        <v>189</v>
      </c>
    </row>
    <row r="3" spans="1:8" ht="31.5" thickTop="1" thickBot="1" x14ac:dyDescent="0.3">
      <c r="A3" s="51">
        <v>1</v>
      </c>
      <c r="B3" s="56" t="s">
        <v>198</v>
      </c>
      <c r="C3" s="50" t="s">
        <v>199</v>
      </c>
      <c r="D3" s="10">
        <v>0</v>
      </c>
      <c r="E3" s="54">
        <v>2</v>
      </c>
      <c r="F3" s="52">
        <f>(Table46[[#This Row],[  VALOR UNITÁRIO (R$) ]]*Table46[[#This Row],[QUANTIDADE]])</f>
        <v>0</v>
      </c>
      <c r="H3" s="272" t="s">
        <v>242</v>
      </c>
    </row>
    <row r="4" spans="1:8" ht="16.5" thickTop="1" thickBot="1" x14ac:dyDescent="0.3">
      <c r="A4" s="51">
        <v>2</v>
      </c>
      <c r="B4" s="56" t="s">
        <v>200</v>
      </c>
      <c r="C4" s="50" t="s">
        <v>201</v>
      </c>
      <c r="D4" s="10">
        <v>0</v>
      </c>
      <c r="E4" s="54">
        <v>10</v>
      </c>
      <c r="F4" s="52">
        <f>(Table46[[#This Row],[  VALOR UNITÁRIO (R$) ]]*Table46[[#This Row],[QUANTIDADE]])</f>
        <v>0</v>
      </c>
      <c r="H4" s="272"/>
    </row>
    <row r="5" spans="1:8" ht="75" customHeight="1" thickTop="1" thickBot="1" x14ac:dyDescent="0.3">
      <c r="A5" s="51">
        <v>3</v>
      </c>
      <c r="B5" s="56" t="s">
        <v>202</v>
      </c>
      <c r="C5" s="50" t="s">
        <v>201</v>
      </c>
      <c r="D5" s="10">
        <v>0</v>
      </c>
      <c r="E5" s="54">
        <v>22</v>
      </c>
      <c r="F5" s="52">
        <f>(Table46[[#This Row],[  VALOR UNITÁRIO (R$) ]]*Table46[[#This Row],[QUANTIDADE]])</f>
        <v>0</v>
      </c>
      <c r="H5" s="272"/>
    </row>
    <row r="6" spans="1:8" ht="31.5" thickTop="1" thickBot="1" x14ac:dyDescent="0.3">
      <c r="A6" s="51">
        <v>4</v>
      </c>
      <c r="B6" s="56" t="s">
        <v>373</v>
      </c>
      <c r="C6" s="50" t="s">
        <v>226</v>
      </c>
      <c r="D6" s="10">
        <v>0</v>
      </c>
      <c r="E6" s="54">
        <v>10</v>
      </c>
      <c r="F6" s="52">
        <f>(Table46[[#This Row],[  VALOR UNITÁRIO (R$) ]]*Table46[[#This Row],[QUANTIDADE]])</f>
        <v>0</v>
      </c>
      <c r="H6" s="272"/>
    </row>
    <row r="7" spans="1:8" ht="16.5" thickTop="1" thickBot="1" x14ac:dyDescent="0.3">
      <c r="A7" s="51">
        <v>5</v>
      </c>
      <c r="B7" s="56" t="s">
        <v>204</v>
      </c>
      <c r="C7" s="50" t="s">
        <v>201</v>
      </c>
      <c r="D7" s="10">
        <v>0</v>
      </c>
      <c r="E7" s="54">
        <v>1</v>
      </c>
      <c r="F7" s="52">
        <f>(Table46[[#This Row],[  VALOR UNITÁRIO (R$) ]]*Table46[[#This Row],[QUANTIDADE]])</f>
        <v>0</v>
      </c>
      <c r="H7" s="272"/>
    </row>
    <row r="8" spans="1:8" ht="31.5" thickTop="1" thickBot="1" x14ac:dyDescent="0.3">
      <c r="A8" s="51">
        <v>6</v>
      </c>
      <c r="B8" s="56" t="s">
        <v>205</v>
      </c>
      <c r="C8" s="50" t="s">
        <v>201</v>
      </c>
      <c r="D8" s="10">
        <v>0</v>
      </c>
      <c r="E8" s="54">
        <v>10</v>
      </c>
      <c r="F8" s="52">
        <f>(Table46[[#This Row],[  VALOR UNITÁRIO (R$) ]]*Table46[[#This Row],[QUANTIDADE]])</f>
        <v>0</v>
      </c>
      <c r="H8" s="272"/>
    </row>
    <row r="9" spans="1:8" ht="31.5" thickTop="1" thickBot="1" x14ac:dyDescent="0.3">
      <c r="A9" s="51">
        <v>7</v>
      </c>
      <c r="B9" s="56" t="s">
        <v>206</v>
      </c>
      <c r="C9" s="50" t="s">
        <v>201</v>
      </c>
      <c r="D9" s="10">
        <v>0</v>
      </c>
      <c r="E9" s="54">
        <v>2</v>
      </c>
      <c r="F9" s="52">
        <f>(Table46[[#This Row],[  VALOR UNITÁRIO (R$) ]]*Table46[[#This Row],[QUANTIDADE]])</f>
        <v>0</v>
      </c>
      <c r="H9" s="272"/>
    </row>
    <row r="10" spans="1:8" ht="63.75" customHeight="1" thickTop="1" thickBot="1" x14ac:dyDescent="0.3">
      <c r="A10" s="51">
        <v>8</v>
      </c>
      <c r="B10" s="56" t="s">
        <v>207</v>
      </c>
      <c r="C10" s="50" t="s">
        <v>208</v>
      </c>
      <c r="D10" s="10">
        <v>0</v>
      </c>
      <c r="E10" s="54">
        <v>30</v>
      </c>
      <c r="F10" s="52">
        <f>(Table46[[#This Row],[  VALOR UNITÁRIO (R$) ]]*Table46[[#This Row],[QUANTIDADE]])</f>
        <v>0</v>
      </c>
      <c r="H10" s="272"/>
    </row>
    <row r="11" spans="1:8" ht="31.5" thickTop="1" thickBot="1" x14ac:dyDescent="0.3">
      <c r="A11" s="51">
        <v>9</v>
      </c>
      <c r="B11" s="56" t="s">
        <v>209</v>
      </c>
      <c r="C11" s="50" t="s">
        <v>201</v>
      </c>
      <c r="D11" s="10">
        <v>0</v>
      </c>
      <c r="E11" s="54">
        <v>3</v>
      </c>
      <c r="F11" s="52">
        <f>(Table46[[#This Row],[  VALOR UNITÁRIO (R$) ]]*Table46[[#This Row],[QUANTIDADE]])</f>
        <v>0</v>
      </c>
      <c r="H11" s="272"/>
    </row>
    <row r="12" spans="1:8" ht="31.5" thickTop="1" thickBot="1" x14ac:dyDescent="0.3">
      <c r="A12" s="51">
        <v>10</v>
      </c>
      <c r="B12" s="56" t="s">
        <v>375</v>
      </c>
      <c r="C12" s="50" t="s">
        <v>374</v>
      </c>
      <c r="D12" s="10">
        <v>0</v>
      </c>
      <c r="E12" s="54">
        <v>3</v>
      </c>
      <c r="F12" s="52">
        <f>(Table46[[#This Row],[  VALOR UNITÁRIO (R$) ]]*Table46[[#This Row],[QUANTIDADE]])</f>
        <v>0</v>
      </c>
      <c r="H12" s="272"/>
    </row>
    <row r="13" spans="1:8" ht="16.5" thickTop="1" thickBot="1" x14ac:dyDescent="0.3">
      <c r="A13" s="51">
        <v>11</v>
      </c>
      <c r="B13" s="56" t="s">
        <v>210</v>
      </c>
      <c r="C13" s="50" t="s">
        <v>226</v>
      </c>
      <c r="D13" s="10">
        <v>0</v>
      </c>
      <c r="E13" s="54">
        <v>5</v>
      </c>
      <c r="F13" s="52">
        <f>(Table46[[#This Row],[  VALOR UNITÁRIO (R$) ]]*Table46[[#This Row],[QUANTIDADE]])</f>
        <v>0</v>
      </c>
      <c r="H13" s="272"/>
    </row>
    <row r="14" spans="1:8" ht="16.5" thickTop="1" thickBot="1" x14ac:dyDescent="0.3">
      <c r="A14" s="51">
        <v>12</v>
      </c>
      <c r="B14" s="56" t="s">
        <v>211</v>
      </c>
      <c r="C14" s="50" t="s">
        <v>226</v>
      </c>
      <c r="D14" s="10">
        <v>0</v>
      </c>
      <c r="E14" s="54">
        <v>10</v>
      </c>
      <c r="F14" s="52">
        <f>(Table46[[#This Row],[  VALOR UNITÁRIO (R$) ]]*Table46[[#This Row],[QUANTIDADE]])</f>
        <v>0</v>
      </c>
      <c r="H14" s="272"/>
    </row>
    <row r="15" spans="1:8" ht="16.5" thickTop="1" thickBot="1" x14ac:dyDescent="0.3">
      <c r="A15" s="51">
        <v>13</v>
      </c>
      <c r="B15" s="56" t="s">
        <v>376</v>
      </c>
      <c r="C15" s="50" t="s">
        <v>226</v>
      </c>
      <c r="D15" s="10">
        <v>0</v>
      </c>
      <c r="E15" s="54">
        <v>6</v>
      </c>
      <c r="F15" s="52">
        <f>(Table46[[#This Row],[  VALOR UNITÁRIO (R$) ]]*Table46[[#This Row],[QUANTIDADE]])</f>
        <v>0</v>
      </c>
      <c r="H15" s="272"/>
    </row>
    <row r="16" spans="1:8" ht="16.5" thickTop="1" thickBot="1" x14ac:dyDescent="0.3">
      <c r="A16" s="51">
        <v>14</v>
      </c>
      <c r="B16" s="56" t="s">
        <v>212</v>
      </c>
      <c r="C16" s="50" t="s">
        <v>208</v>
      </c>
      <c r="D16" s="10">
        <v>0</v>
      </c>
      <c r="E16" s="54">
        <v>3</v>
      </c>
      <c r="F16" s="52">
        <f>(Table46[[#This Row],[  VALOR UNITÁRIO (R$) ]]*Table46[[#This Row],[QUANTIDADE]])</f>
        <v>0</v>
      </c>
      <c r="H16" s="272"/>
    </row>
    <row r="17" spans="1:8" ht="16.5" thickTop="1" thickBot="1" x14ac:dyDescent="0.3">
      <c r="A17" s="51">
        <v>15</v>
      </c>
      <c r="B17" s="56" t="s">
        <v>213</v>
      </c>
      <c r="C17" s="50" t="s">
        <v>226</v>
      </c>
      <c r="D17" s="10">
        <v>0</v>
      </c>
      <c r="E17" s="54">
        <v>10</v>
      </c>
      <c r="F17" s="52">
        <f>(Table46[[#This Row],[  VALOR UNITÁRIO (R$) ]]*Table46[[#This Row],[QUANTIDADE]])</f>
        <v>0</v>
      </c>
      <c r="H17" s="272"/>
    </row>
    <row r="18" spans="1:8" ht="16.5" thickTop="1" thickBot="1" x14ac:dyDescent="0.3">
      <c r="A18" s="51">
        <v>16</v>
      </c>
      <c r="B18" s="56" t="s">
        <v>214</v>
      </c>
      <c r="C18" s="50" t="s">
        <v>201</v>
      </c>
      <c r="D18" s="10">
        <v>0</v>
      </c>
      <c r="E18" s="54">
        <v>1</v>
      </c>
      <c r="F18" s="52">
        <f>(Table46[[#This Row],[  VALOR UNITÁRIO (R$) ]]*Table46[[#This Row],[QUANTIDADE]])</f>
        <v>0</v>
      </c>
      <c r="H18" s="272"/>
    </row>
    <row r="19" spans="1:8" ht="31.5" thickTop="1" thickBot="1" x14ac:dyDescent="0.3">
      <c r="A19" s="51">
        <v>17</v>
      </c>
      <c r="B19" s="56" t="s">
        <v>215</v>
      </c>
      <c r="C19" s="50" t="s">
        <v>216</v>
      </c>
      <c r="D19" s="10">
        <v>0</v>
      </c>
      <c r="E19" s="54">
        <v>45</v>
      </c>
      <c r="F19" s="52">
        <f>(Table46[[#This Row],[  VALOR UNITÁRIO (R$) ]]*Table46[[#This Row],[QUANTIDADE]])</f>
        <v>0</v>
      </c>
      <c r="H19" s="272"/>
    </row>
    <row r="20" spans="1:8" ht="31.5" thickTop="1" thickBot="1" x14ac:dyDescent="0.3">
      <c r="A20" s="51">
        <v>18</v>
      </c>
      <c r="B20" s="56" t="s">
        <v>217</v>
      </c>
      <c r="C20" s="50" t="s">
        <v>218</v>
      </c>
      <c r="D20" s="10">
        <v>0</v>
      </c>
      <c r="E20" s="54">
        <v>10</v>
      </c>
      <c r="F20" s="52">
        <f>(Table46[[#This Row],[  VALOR UNITÁRIO (R$) ]]*Table46[[#This Row],[QUANTIDADE]])</f>
        <v>0</v>
      </c>
      <c r="H20" s="272"/>
    </row>
    <row r="21" spans="1:8" ht="16.5" thickTop="1" thickBot="1" x14ac:dyDescent="0.3">
      <c r="A21" s="51">
        <v>19</v>
      </c>
      <c r="B21" s="56" t="s">
        <v>219</v>
      </c>
      <c r="C21" s="50" t="s">
        <v>201</v>
      </c>
      <c r="D21" s="10">
        <v>0</v>
      </c>
      <c r="E21" s="54">
        <v>3</v>
      </c>
      <c r="F21" s="52">
        <f>(Table46[[#This Row],[  VALOR UNITÁRIO (R$) ]]*Table46[[#This Row],[QUANTIDADE]])</f>
        <v>0</v>
      </c>
      <c r="H21" s="272"/>
    </row>
    <row r="22" spans="1:8" ht="16.5" thickTop="1" thickBot="1" x14ac:dyDescent="0.3">
      <c r="A22" s="51">
        <v>20</v>
      </c>
      <c r="B22" s="56" t="s">
        <v>220</v>
      </c>
      <c r="C22" s="50" t="s">
        <v>221</v>
      </c>
      <c r="D22" s="10">
        <v>0</v>
      </c>
      <c r="E22" s="54">
        <v>10</v>
      </c>
      <c r="F22" s="52">
        <f>(Table46[[#This Row],[  VALOR UNITÁRIO (R$) ]]*Table46[[#This Row],[QUANTIDADE]])</f>
        <v>0</v>
      </c>
      <c r="H22" s="272"/>
    </row>
    <row r="23" spans="1:8" ht="16.5" thickTop="1" thickBot="1" x14ac:dyDescent="0.3">
      <c r="A23" s="51">
        <v>21</v>
      </c>
      <c r="B23" s="56" t="s">
        <v>222</v>
      </c>
      <c r="C23" s="50" t="s">
        <v>221</v>
      </c>
      <c r="D23" s="10">
        <v>0</v>
      </c>
      <c r="E23" s="54">
        <v>10</v>
      </c>
      <c r="F23" s="52">
        <f>(Table46[[#This Row],[  VALOR UNITÁRIO (R$) ]]*Table46[[#This Row],[QUANTIDADE]])</f>
        <v>0</v>
      </c>
      <c r="H23" s="272"/>
    </row>
    <row r="24" spans="1:8" ht="16.5" thickTop="1" thickBot="1" x14ac:dyDescent="0.3">
      <c r="A24" s="51">
        <v>22</v>
      </c>
      <c r="B24" s="56" t="s">
        <v>223</v>
      </c>
      <c r="C24" s="50" t="s">
        <v>226</v>
      </c>
      <c r="D24" s="10">
        <v>0</v>
      </c>
      <c r="E24" s="54">
        <v>20</v>
      </c>
      <c r="F24" s="52">
        <f>(Table46[[#This Row],[  VALOR UNITÁRIO (R$) ]]*Table46[[#This Row],[QUANTIDADE]])</f>
        <v>0</v>
      </c>
      <c r="H24" s="272"/>
    </row>
    <row r="25" spans="1:8" ht="31.5" thickTop="1" thickBot="1" x14ac:dyDescent="0.3">
      <c r="A25" s="51">
        <v>23</v>
      </c>
      <c r="B25" s="56" t="s">
        <v>351</v>
      </c>
      <c r="C25" s="50" t="s">
        <v>226</v>
      </c>
      <c r="D25" s="10">
        <v>0</v>
      </c>
      <c r="E25" s="54">
        <v>6</v>
      </c>
      <c r="F25" s="52">
        <f>(Table46[[#This Row],[  VALOR UNITÁRIO (R$) ]]*Table46[[#This Row],[QUANTIDADE]])</f>
        <v>0</v>
      </c>
      <c r="H25" s="272"/>
    </row>
    <row r="26" spans="1:8" ht="45.75" customHeight="1" thickTop="1" thickBot="1" x14ac:dyDescent="0.3">
      <c r="A26" s="51">
        <v>24</v>
      </c>
      <c r="B26" s="56" t="s">
        <v>224</v>
      </c>
      <c r="C26" s="50" t="s">
        <v>225</v>
      </c>
      <c r="D26" s="10">
        <v>0</v>
      </c>
      <c r="E26" s="54">
        <v>15</v>
      </c>
      <c r="F26" s="52">
        <f>(Table46[[#This Row],[  VALOR UNITÁRIO (R$) ]]*Table46[[#This Row],[QUANTIDADE]])</f>
        <v>0</v>
      </c>
      <c r="H26" s="272"/>
    </row>
    <row r="27" spans="1:8" ht="15" customHeight="1" thickTop="1" x14ac:dyDescent="0.25">
      <c r="A27" s="81" t="s">
        <v>44</v>
      </c>
      <c r="B27" s="23"/>
      <c r="C27" s="23"/>
      <c r="D27" s="23"/>
      <c r="E27" s="23"/>
      <c r="F27" s="27">
        <f>SUBTOTAL(109,F3:F26)</f>
        <v>0</v>
      </c>
      <c r="G27" s="63"/>
    </row>
    <row r="28" spans="1:8" x14ac:dyDescent="0.25">
      <c r="A28" s="64"/>
      <c r="B28" s="64"/>
      <c r="C28" s="64"/>
      <c r="D28" s="64"/>
      <c r="E28" s="64"/>
      <c r="F28" s="64"/>
    </row>
    <row r="29" spans="1:8" x14ac:dyDescent="0.25">
      <c r="A29" s="273" t="s">
        <v>243</v>
      </c>
      <c r="B29" s="273"/>
      <c r="C29" s="273"/>
      <c r="D29" s="273"/>
      <c r="E29" s="273"/>
      <c r="F29" s="273"/>
    </row>
    <row r="30" spans="1:8" ht="15.75" thickBot="1" x14ac:dyDescent="0.3">
      <c r="A30" s="5" t="s">
        <v>185</v>
      </c>
      <c r="B30" s="6" t="s">
        <v>186</v>
      </c>
      <c r="C30" s="6" t="s">
        <v>187</v>
      </c>
      <c r="D30" s="6" t="s">
        <v>378</v>
      </c>
      <c r="E30" s="6" t="s">
        <v>188</v>
      </c>
      <c r="F30" s="7" t="s">
        <v>189</v>
      </c>
    </row>
    <row r="31" spans="1:8" ht="15" customHeight="1" thickTop="1" thickBot="1" x14ac:dyDescent="0.3">
      <c r="A31" s="14">
        <v>25</v>
      </c>
      <c r="B31" s="158" t="s">
        <v>227</v>
      </c>
      <c r="C31" s="14" t="s">
        <v>203</v>
      </c>
      <c r="D31" s="10">
        <v>0</v>
      </c>
      <c r="E31" s="183">
        <v>2</v>
      </c>
      <c r="F31" s="182">
        <f>D31*E31</f>
        <v>0</v>
      </c>
      <c r="H31" s="272" t="s">
        <v>243</v>
      </c>
    </row>
    <row r="32" spans="1:8" ht="16.5" thickTop="1" thickBot="1" x14ac:dyDescent="0.3">
      <c r="A32" s="57">
        <v>26</v>
      </c>
      <c r="B32" s="62" t="s">
        <v>228</v>
      </c>
      <c r="C32" s="58" t="s">
        <v>203</v>
      </c>
      <c r="D32" s="10">
        <v>0</v>
      </c>
      <c r="E32" s="184">
        <v>1</v>
      </c>
      <c r="F32" s="170">
        <f t="shared" ref="F32:F56" si="0">D32*E32</f>
        <v>0</v>
      </c>
      <c r="H32" s="272"/>
    </row>
    <row r="33" spans="1:8" ht="16.5" thickTop="1" thickBot="1" x14ac:dyDescent="0.3">
      <c r="A33" s="14">
        <v>27</v>
      </c>
      <c r="B33" s="167" t="s">
        <v>229</v>
      </c>
      <c r="C33" s="169" t="s">
        <v>230</v>
      </c>
      <c r="D33" s="10">
        <v>0</v>
      </c>
      <c r="E33" s="185">
        <v>2</v>
      </c>
      <c r="F33" s="182">
        <f>D33*E33</f>
        <v>0</v>
      </c>
      <c r="H33" s="272"/>
    </row>
    <row r="34" spans="1:8" ht="16.5" thickTop="1" thickBot="1" x14ac:dyDescent="0.3">
      <c r="A34" s="163">
        <v>28</v>
      </c>
      <c r="B34" s="165" t="s">
        <v>231</v>
      </c>
      <c r="C34" s="163" t="s">
        <v>203</v>
      </c>
      <c r="D34" s="10">
        <v>0</v>
      </c>
      <c r="E34" s="184">
        <v>3</v>
      </c>
      <c r="F34" s="170">
        <f t="shared" si="0"/>
        <v>0</v>
      </c>
      <c r="H34" s="272"/>
    </row>
    <row r="35" spans="1:8" ht="16.5" thickTop="1" thickBot="1" x14ac:dyDescent="0.3">
      <c r="A35" s="168">
        <v>29</v>
      </c>
      <c r="B35" s="167" t="s">
        <v>232</v>
      </c>
      <c r="C35" s="169" t="s">
        <v>203</v>
      </c>
      <c r="D35" s="10">
        <v>0</v>
      </c>
      <c r="E35" s="186">
        <v>1</v>
      </c>
      <c r="F35" s="182">
        <f t="shared" si="0"/>
        <v>0</v>
      </c>
      <c r="H35" s="272"/>
    </row>
    <row r="36" spans="1:8" ht="31.5" thickTop="1" thickBot="1" x14ac:dyDescent="0.3">
      <c r="A36" s="163">
        <v>30</v>
      </c>
      <c r="B36" s="164" t="s">
        <v>352</v>
      </c>
      <c r="C36" s="163" t="s">
        <v>203</v>
      </c>
      <c r="D36" s="10">
        <v>0</v>
      </c>
      <c r="E36" s="178">
        <v>2</v>
      </c>
      <c r="F36" s="170">
        <f t="shared" si="0"/>
        <v>0</v>
      </c>
      <c r="H36" s="272"/>
    </row>
    <row r="37" spans="1:8" ht="61.5" thickTop="1" thickBot="1" x14ac:dyDescent="0.3">
      <c r="A37" s="14">
        <v>31</v>
      </c>
      <c r="B37" s="167" t="s">
        <v>233</v>
      </c>
      <c r="C37" s="169" t="s">
        <v>203</v>
      </c>
      <c r="D37" s="10">
        <v>0</v>
      </c>
      <c r="E37" s="187">
        <v>1</v>
      </c>
      <c r="F37" s="182">
        <f t="shared" si="0"/>
        <v>0</v>
      </c>
      <c r="H37" s="272"/>
    </row>
    <row r="38" spans="1:8" ht="16.5" thickTop="1" thickBot="1" x14ac:dyDescent="0.3">
      <c r="A38" s="57">
        <v>32</v>
      </c>
      <c r="B38" s="165" t="s">
        <v>234</v>
      </c>
      <c r="C38" s="163" t="s">
        <v>203</v>
      </c>
      <c r="D38" s="10">
        <v>0</v>
      </c>
      <c r="E38" s="184">
        <v>3</v>
      </c>
      <c r="F38" s="170">
        <f t="shared" si="0"/>
        <v>0</v>
      </c>
      <c r="H38" s="272"/>
    </row>
    <row r="39" spans="1:8" ht="16.5" thickTop="1" thickBot="1" x14ac:dyDescent="0.3">
      <c r="A39" s="14">
        <v>33</v>
      </c>
      <c r="B39" s="167" t="s">
        <v>235</v>
      </c>
      <c r="C39" s="169" t="s">
        <v>203</v>
      </c>
      <c r="D39" s="10">
        <v>0</v>
      </c>
      <c r="E39" s="185">
        <v>7</v>
      </c>
      <c r="F39" s="182">
        <f t="shared" si="0"/>
        <v>0</v>
      </c>
      <c r="H39" s="272"/>
    </row>
    <row r="40" spans="1:8" ht="16.5" thickTop="1" thickBot="1" x14ac:dyDescent="0.3">
      <c r="A40" s="163">
        <v>34</v>
      </c>
      <c r="B40" s="165" t="s">
        <v>236</v>
      </c>
      <c r="C40" s="163" t="s">
        <v>201</v>
      </c>
      <c r="D40" s="10">
        <v>0</v>
      </c>
      <c r="E40" s="184">
        <v>1</v>
      </c>
      <c r="F40" s="170">
        <f t="shared" si="0"/>
        <v>0</v>
      </c>
      <c r="H40" s="272"/>
    </row>
    <row r="41" spans="1:8" ht="16.5" thickTop="1" thickBot="1" x14ac:dyDescent="0.3">
      <c r="A41" s="168">
        <v>35</v>
      </c>
      <c r="B41" s="167" t="s">
        <v>237</v>
      </c>
      <c r="C41" s="169" t="s">
        <v>238</v>
      </c>
      <c r="D41" s="10">
        <v>0</v>
      </c>
      <c r="E41" s="185">
        <v>5</v>
      </c>
      <c r="F41" s="182">
        <f t="shared" si="0"/>
        <v>0</v>
      </c>
      <c r="H41" s="272"/>
    </row>
    <row r="42" spans="1:8" ht="16.5" thickTop="1" thickBot="1" x14ac:dyDescent="0.3">
      <c r="A42" s="163">
        <v>36</v>
      </c>
      <c r="B42" s="165" t="s">
        <v>353</v>
      </c>
      <c r="C42" s="163" t="s">
        <v>238</v>
      </c>
      <c r="D42" s="10">
        <v>0</v>
      </c>
      <c r="E42" s="188">
        <v>3</v>
      </c>
      <c r="F42" s="170">
        <f t="shared" si="0"/>
        <v>0</v>
      </c>
      <c r="H42" s="272"/>
    </row>
    <row r="43" spans="1:8" ht="16.5" thickTop="1" thickBot="1" x14ac:dyDescent="0.3">
      <c r="A43" s="14">
        <v>37</v>
      </c>
      <c r="B43" s="167" t="s">
        <v>354</v>
      </c>
      <c r="C43" s="169" t="s">
        <v>203</v>
      </c>
      <c r="D43" s="10">
        <v>0</v>
      </c>
      <c r="E43" s="189">
        <v>5</v>
      </c>
      <c r="F43" s="182">
        <f t="shared" si="0"/>
        <v>0</v>
      </c>
      <c r="H43" s="272"/>
    </row>
    <row r="44" spans="1:8" ht="16.5" thickTop="1" thickBot="1" x14ac:dyDescent="0.3">
      <c r="A44" s="57">
        <v>38</v>
      </c>
      <c r="B44" s="165" t="s">
        <v>239</v>
      </c>
      <c r="C44" s="163" t="s">
        <v>203</v>
      </c>
      <c r="D44" s="10">
        <v>0</v>
      </c>
      <c r="E44" s="188">
        <v>7</v>
      </c>
      <c r="F44" s="170">
        <f t="shared" si="0"/>
        <v>0</v>
      </c>
      <c r="H44" s="272"/>
    </row>
    <row r="45" spans="1:8" ht="16.5" thickTop="1" thickBot="1" x14ac:dyDescent="0.3">
      <c r="A45" s="14">
        <v>39</v>
      </c>
      <c r="B45" s="167" t="s">
        <v>355</v>
      </c>
      <c r="C45" s="169" t="s">
        <v>203</v>
      </c>
      <c r="D45" s="10">
        <v>0</v>
      </c>
      <c r="E45" s="185">
        <v>7</v>
      </c>
      <c r="F45" s="182">
        <f t="shared" si="0"/>
        <v>0</v>
      </c>
      <c r="H45" s="272"/>
    </row>
    <row r="46" spans="1:8" ht="16.5" thickTop="1" thickBot="1" x14ac:dyDescent="0.3">
      <c r="A46" s="163">
        <v>40</v>
      </c>
      <c r="B46" s="165" t="s">
        <v>240</v>
      </c>
      <c r="C46" s="163" t="s">
        <v>203</v>
      </c>
      <c r="D46" s="10">
        <v>0</v>
      </c>
      <c r="E46" s="184">
        <v>4</v>
      </c>
      <c r="F46" s="170">
        <f t="shared" si="0"/>
        <v>0</v>
      </c>
      <c r="H46" s="272"/>
    </row>
    <row r="47" spans="1:8" ht="61.5" thickTop="1" thickBot="1" x14ac:dyDescent="0.3">
      <c r="A47" s="168">
        <v>41</v>
      </c>
      <c r="B47" s="167" t="s">
        <v>356</v>
      </c>
      <c r="C47" s="169" t="s">
        <v>203</v>
      </c>
      <c r="D47" s="10">
        <v>0</v>
      </c>
      <c r="E47" s="191">
        <v>1</v>
      </c>
      <c r="F47" s="182">
        <f t="shared" si="0"/>
        <v>0</v>
      </c>
      <c r="H47" s="272"/>
    </row>
    <row r="48" spans="1:8" ht="16.5" thickTop="1" thickBot="1" x14ac:dyDescent="0.3">
      <c r="A48" s="163">
        <v>42</v>
      </c>
      <c r="B48" s="165" t="s">
        <v>357</v>
      </c>
      <c r="C48" s="163" t="s">
        <v>358</v>
      </c>
      <c r="D48" s="10">
        <v>0</v>
      </c>
      <c r="E48" s="190">
        <v>2</v>
      </c>
      <c r="F48" s="171">
        <f t="shared" si="0"/>
        <v>0</v>
      </c>
      <c r="H48" s="272"/>
    </row>
    <row r="49" spans="1:18" ht="16.5" thickTop="1" thickBot="1" x14ac:dyDescent="0.3">
      <c r="A49" s="14">
        <v>43</v>
      </c>
      <c r="B49" s="167" t="s">
        <v>241</v>
      </c>
      <c r="C49" s="169" t="s">
        <v>225</v>
      </c>
      <c r="D49" s="10">
        <v>0</v>
      </c>
      <c r="E49" s="174">
        <v>2</v>
      </c>
      <c r="F49" s="59">
        <f t="shared" si="0"/>
        <v>0</v>
      </c>
      <c r="G49" s="175"/>
      <c r="H49" s="272"/>
    </row>
    <row r="50" spans="1:18" ht="61.5" thickTop="1" thickBot="1" x14ac:dyDescent="0.3">
      <c r="A50" s="57">
        <v>44</v>
      </c>
      <c r="B50" s="164" t="s">
        <v>359</v>
      </c>
      <c r="C50" s="163" t="s">
        <v>203</v>
      </c>
      <c r="D50" s="10">
        <v>0</v>
      </c>
      <c r="E50" s="176">
        <v>6</v>
      </c>
      <c r="F50" s="192">
        <f t="shared" si="0"/>
        <v>0</v>
      </c>
      <c r="H50" s="272"/>
    </row>
    <row r="51" spans="1:18" ht="61.5" thickTop="1" thickBot="1" x14ac:dyDescent="0.3">
      <c r="A51" s="14">
        <v>45</v>
      </c>
      <c r="B51" s="167" t="s">
        <v>360</v>
      </c>
      <c r="C51" s="169" t="s">
        <v>203</v>
      </c>
      <c r="D51" s="10">
        <v>0</v>
      </c>
      <c r="E51" s="177">
        <v>6</v>
      </c>
      <c r="F51" s="59">
        <f t="shared" si="0"/>
        <v>0</v>
      </c>
      <c r="H51" s="272"/>
    </row>
    <row r="52" spans="1:18" ht="27" customHeight="1" thickTop="1" thickBot="1" x14ac:dyDescent="0.3">
      <c r="A52" s="163">
        <v>46</v>
      </c>
      <c r="B52" s="165" t="s">
        <v>361</v>
      </c>
      <c r="C52" s="163" t="s">
        <v>203</v>
      </c>
      <c r="D52" s="10">
        <v>0</v>
      </c>
      <c r="E52" s="176">
        <v>10</v>
      </c>
      <c r="F52" s="173">
        <f t="shared" si="0"/>
        <v>0</v>
      </c>
      <c r="H52" s="272"/>
    </row>
    <row r="53" spans="1:18" ht="61.5" thickTop="1" thickBot="1" x14ac:dyDescent="0.3">
      <c r="A53" s="168">
        <v>47</v>
      </c>
      <c r="B53" s="162" t="s">
        <v>362</v>
      </c>
      <c r="C53" s="14" t="s">
        <v>270</v>
      </c>
      <c r="D53" s="10">
        <v>0</v>
      </c>
      <c r="E53" s="180">
        <v>4</v>
      </c>
      <c r="F53" s="59">
        <f t="shared" si="0"/>
        <v>0</v>
      </c>
      <c r="H53" s="272"/>
    </row>
    <row r="54" spans="1:18" ht="31.5" thickTop="1" thickBot="1" x14ac:dyDescent="0.3">
      <c r="A54" s="163">
        <v>48</v>
      </c>
      <c r="B54" s="62" t="s">
        <v>363</v>
      </c>
      <c r="C54" s="58" t="s">
        <v>270</v>
      </c>
      <c r="D54" s="10">
        <v>0</v>
      </c>
      <c r="E54" s="181">
        <v>3</v>
      </c>
      <c r="F54" s="166">
        <f t="shared" si="0"/>
        <v>0</v>
      </c>
      <c r="H54" s="272"/>
    </row>
    <row r="55" spans="1:18" ht="26.25" customHeight="1" thickTop="1" thickBot="1" x14ac:dyDescent="0.3">
      <c r="A55" s="14">
        <v>49</v>
      </c>
      <c r="B55" s="158" t="s">
        <v>364</v>
      </c>
      <c r="C55" s="14" t="s">
        <v>270</v>
      </c>
      <c r="D55" s="10">
        <v>0</v>
      </c>
      <c r="E55" s="179">
        <v>3</v>
      </c>
      <c r="F55" s="59">
        <f t="shared" si="0"/>
        <v>0</v>
      </c>
      <c r="H55" s="272"/>
    </row>
    <row r="56" spans="1:18" ht="20.25" customHeight="1" thickTop="1" thickBot="1" x14ac:dyDescent="0.3">
      <c r="A56" s="57">
        <v>50</v>
      </c>
      <c r="B56" s="62" t="s">
        <v>365</v>
      </c>
      <c r="C56" s="58" t="s">
        <v>270</v>
      </c>
      <c r="D56" s="10">
        <v>0</v>
      </c>
      <c r="E56" s="181">
        <v>10</v>
      </c>
      <c r="F56" s="166">
        <f t="shared" si="0"/>
        <v>0</v>
      </c>
      <c r="H56" s="272"/>
    </row>
    <row r="57" spans="1:18" ht="24.75" customHeight="1" thickTop="1" x14ac:dyDescent="0.25">
      <c r="A57" s="26" t="s">
        <v>44</v>
      </c>
      <c r="B57" s="277" t="s">
        <v>366</v>
      </c>
      <c r="C57" s="278"/>
      <c r="D57" s="278"/>
      <c r="E57" s="279"/>
      <c r="F57" s="172">
        <f>(SUM(F31:F56))/6</f>
        <v>0</v>
      </c>
      <c r="G57" s="63"/>
    </row>
    <row r="58" spans="1:18" ht="15" customHeight="1" x14ac:dyDescent="0.25">
      <c r="A58" s="64"/>
      <c r="B58" s="64"/>
      <c r="C58" s="64"/>
      <c r="D58" s="64"/>
      <c r="E58" s="64"/>
      <c r="F58" s="64"/>
      <c r="G58" s="63"/>
    </row>
    <row r="59" spans="1:18" x14ac:dyDescent="0.25">
      <c r="A59" s="273" t="s">
        <v>247</v>
      </c>
      <c r="B59" s="273"/>
      <c r="C59" s="273"/>
      <c r="D59" s="273"/>
      <c r="E59" s="273"/>
      <c r="F59" s="273"/>
      <c r="R59" s="154"/>
    </row>
    <row r="60" spans="1:18" ht="15.75" thickBot="1" x14ac:dyDescent="0.3">
      <c r="A60" s="5" t="s">
        <v>185</v>
      </c>
      <c r="B60" s="6" t="s">
        <v>186</v>
      </c>
      <c r="C60" s="6" t="s">
        <v>187</v>
      </c>
      <c r="D60" s="6" t="s">
        <v>378</v>
      </c>
      <c r="E60" s="6" t="s">
        <v>188</v>
      </c>
      <c r="F60" s="7" t="s">
        <v>189</v>
      </c>
    </row>
    <row r="61" spans="1:18" ht="16.5" thickTop="1" thickBot="1" x14ac:dyDescent="0.3">
      <c r="A61" s="58">
        <v>51</v>
      </c>
      <c r="B61" s="62" t="s">
        <v>248</v>
      </c>
      <c r="C61" s="58" t="s">
        <v>203</v>
      </c>
      <c r="D61" s="10">
        <v>0</v>
      </c>
      <c r="E61" s="58">
        <v>1</v>
      </c>
      <c r="F61" s="82">
        <f>D61*E61</f>
        <v>0</v>
      </c>
    </row>
    <row r="62" spans="1:18" ht="16.5" thickTop="1" thickBot="1" x14ac:dyDescent="0.3">
      <c r="A62" s="15">
        <v>52</v>
      </c>
      <c r="B62" s="61" t="s">
        <v>377</v>
      </c>
      <c r="C62" s="15" t="s">
        <v>203</v>
      </c>
      <c r="D62" s="10">
        <v>0</v>
      </c>
      <c r="E62" s="15">
        <v>1</v>
      </c>
      <c r="F62" s="83">
        <f>D62*E62</f>
        <v>0</v>
      </c>
    </row>
    <row r="63" spans="1:18" ht="16.5" thickTop="1" thickBot="1" x14ac:dyDescent="0.3">
      <c r="A63" s="58">
        <v>53</v>
      </c>
      <c r="B63" s="62" t="s">
        <v>249</v>
      </c>
      <c r="C63" s="58" t="s">
        <v>203</v>
      </c>
      <c r="D63" s="10">
        <v>0</v>
      </c>
      <c r="E63" s="58">
        <v>1</v>
      </c>
      <c r="F63" s="82">
        <f>D63*E63</f>
        <v>0</v>
      </c>
    </row>
    <row r="64" spans="1:18" ht="121.5" thickTop="1" thickBot="1" x14ac:dyDescent="0.3">
      <c r="A64" s="15">
        <v>54</v>
      </c>
      <c r="B64" s="61" t="s">
        <v>250</v>
      </c>
      <c r="C64" s="15" t="s">
        <v>203</v>
      </c>
      <c r="D64" s="10">
        <v>0</v>
      </c>
      <c r="E64" s="15">
        <v>1</v>
      </c>
      <c r="F64" s="83">
        <f>D64*E64</f>
        <v>0</v>
      </c>
    </row>
    <row r="65" spans="1:8" ht="16.5" thickTop="1" thickBot="1" x14ac:dyDescent="0.3">
      <c r="A65" s="58">
        <v>55</v>
      </c>
      <c r="B65" s="62" t="s">
        <v>251</v>
      </c>
      <c r="C65" s="58" t="s">
        <v>203</v>
      </c>
      <c r="D65" s="10">
        <v>0</v>
      </c>
      <c r="E65" s="58">
        <v>1</v>
      </c>
      <c r="F65" s="82">
        <f>D65*E65</f>
        <v>0</v>
      </c>
    </row>
    <row r="66" spans="1:8" ht="91.5" thickTop="1" thickBot="1" x14ac:dyDescent="0.3">
      <c r="A66" s="15">
        <v>56</v>
      </c>
      <c r="B66" s="61" t="s">
        <v>252</v>
      </c>
      <c r="C66" s="15" t="s">
        <v>203</v>
      </c>
      <c r="D66" s="10">
        <v>0</v>
      </c>
      <c r="E66" s="15">
        <v>1</v>
      </c>
      <c r="F66" s="83">
        <f t="shared" ref="F66:F70" si="1">D66*E66</f>
        <v>0</v>
      </c>
    </row>
    <row r="67" spans="1:8" ht="16.5" thickTop="1" thickBot="1" x14ac:dyDescent="0.3">
      <c r="A67" s="58">
        <v>57</v>
      </c>
      <c r="B67" s="62" t="s">
        <v>253</v>
      </c>
      <c r="C67" s="58" t="s">
        <v>203</v>
      </c>
      <c r="D67" s="10">
        <v>0</v>
      </c>
      <c r="E67" s="58">
        <v>2</v>
      </c>
      <c r="F67" s="82">
        <f t="shared" si="1"/>
        <v>0</v>
      </c>
    </row>
    <row r="68" spans="1:8" ht="69" customHeight="1" thickTop="1" thickBot="1" x14ac:dyDescent="0.3">
      <c r="A68" s="15">
        <v>58</v>
      </c>
      <c r="B68" s="61" t="s">
        <v>368</v>
      </c>
      <c r="C68" s="15" t="s">
        <v>203</v>
      </c>
      <c r="D68" s="10">
        <v>0</v>
      </c>
      <c r="E68" s="15">
        <v>1</v>
      </c>
      <c r="F68" s="83">
        <f>D68*E68</f>
        <v>0</v>
      </c>
    </row>
    <row r="69" spans="1:8" ht="26.25" customHeight="1" thickTop="1" thickBot="1" x14ac:dyDescent="0.3">
      <c r="A69" s="58">
        <v>59</v>
      </c>
      <c r="B69" s="62" t="s">
        <v>254</v>
      </c>
      <c r="C69" s="58" t="s">
        <v>203</v>
      </c>
      <c r="D69" s="10">
        <v>0</v>
      </c>
      <c r="E69" s="159">
        <v>2</v>
      </c>
      <c r="F69" s="160">
        <f t="shared" si="1"/>
        <v>0</v>
      </c>
      <c r="H69" s="60"/>
    </row>
    <row r="70" spans="1:8" ht="16.5" thickTop="1" thickBot="1" x14ac:dyDescent="0.3">
      <c r="A70" s="15">
        <v>60</v>
      </c>
      <c r="B70" s="61" t="s">
        <v>255</v>
      </c>
      <c r="C70" s="15" t="s">
        <v>203</v>
      </c>
      <c r="D70" s="10">
        <v>0</v>
      </c>
      <c r="E70" s="15">
        <v>2</v>
      </c>
      <c r="F70" s="83">
        <f t="shared" si="1"/>
        <v>0</v>
      </c>
    </row>
    <row r="71" spans="1:8" ht="15.75" thickTop="1" x14ac:dyDescent="0.25">
      <c r="A71" s="58">
        <v>61</v>
      </c>
      <c r="B71" s="161" t="s">
        <v>256</v>
      </c>
      <c r="C71" s="159" t="s">
        <v>203</v>
      </c>
      <c r="D71" s="10">
        <v>0</v>
      </c>
      <c r="E71" s="159">
        <v>1</v>
      </c>
      <c r="F71" s="160">
        <f>D71*E71</f>
        <v>0</v>
      </c>
    </row>
    <row r="72" spans="1:8" x14ac:dyDescent="0.25">
      <c r="A72" s="274" t="s">
        <v>44</v>
      </c>
      <c r="B72" s="275"/>
      <c r="C72" s="275"/>
      <c r="D72" s="275"/>
      <c r="E72" s="276"/>
      <c r="F72" s="16">
        <f>SUM(F61:F71)</f>
        <v>0</v>
      </c>
    </row>
    <row r="73" spans="1:8" x14ac:dyDescent="0.25">
      <c r="A73" s="274" t="s">
        <v>245</v>
      </c>
      <c r="B73" s="275"/>
      <c r="C73" s="275"/>
      <c r="D73" s="275"/>
      <c r="E73" s="276"/>
      <c r="F73" s="16">
        <f>(F72*0.25%)/12</f>
        <v>0</v>
      </c>
    </row>
    <row r="74" spans="1:8" x14ac:dyDescent="0.25">
      <c r="A74" s="271" t="s">
        <v>246</v>
      </c>
      <c r="B74" s="271"/>
      <c r="C74" s="271"/>
      <c r="D74" s="271"/>
      <c r="E74" s="271"/>
      <c r="F74" s="17">
        <f>(F72*10%)/12</f>
        <v>0</v>
      </c>
    </row>
    <row r="75" spans="1:8" x14ac:dyDescent="0.25">
      <c r="A75" s="271" t="s">
        <v>274</v>
      </c>
      <c r="B75" s="271"/>
      <c r="C75" s="271"/>
      <c r="D75" s="271"/>
      <c r="E75" s="271"/>
      <c r="F75" s="17">
        <f>SUM(F73:F74)</f>
        <v>0</v>
      </c>
    </row>
    <row r="76" spans="1:8" ht="15.75" thickBot="1" x14ac:dyDescent="0.3"/>
    <row r="77" spans="1:8" ht="15.75" thickTop="1" x14ac:dyDescent="0.25">
      <c r="A77" s="81"/>
      <c r="B77" s="81" t="s">
        <v>348</v>
      </c>
      <c r="C77" s="81"/>
      <c r="D77" s="81"/>
      <c r="E77" s="81"/>
      <c r="F77" s="27">
        <f>SUM(F57+F27+F75)</f>
        <v>0</v>
      </c>
    </row>
  </sheetData>
  <mergeCells count="10">
    <mergeCell ref="A75:E75"/>
    <mergeCell ref="H3:H26"/>
    <mergeCell ref="H31:H56"/>
    <mergeCell ref="A1:F1"/>
    <mergeCell ref="A29:F29"/>
    <mergeCell ref="A59:F59"/>
    <mergeCell ref="A72:E72"/>
    <mergeCell ref="A73:E73"/>
    <mergeCell ref="A74:E74"/>
    <mergeCell ref="B57:E57"/>
  </mergeCells>
  <phoneticPr fontId="4" type="noConversion"/>
  <pageMargins left="0.7" right="0.7" top="0.75" bottom="0.75" header="0.3" footer="0.3"/>
  <pageSetup paperSize="9" scale="48" fitToHeight="0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4"/>
  <sheetViews>
    <sheetView zoomScale="70" zoomScaleNormal="70" zoomScaleSheetLayoutView="100" workbookViewId="0">
      <selection activeCell="D3" sqref="D3"/>
    </sheetView>
  </sheetViews>
  <sheetFormatPr defaultColWidth="9.140625" defaultRowHeight="15" x14ac:dyDescent="0.25"/>
  <cols>
    <col min="2" max="2" width="39.140625" bestFit="1" customWidth="1"/>
    <col min="3" max="3" width="11.42578125" customWidth="1"/>
    <col min="4" max="4" width="17.42578125" bestFit="1" customWidth="1"/>
    <col min="5" max="5" width="17.85546875" customWidth="1"/>
    <col min="6" max="6" width="16.7109375" style="4" bestFit="1" customWidth="1"/>
    <col min="9" max="9" width="11.5703125" customWidth="1"/>
    <col min="10" max="10" width="12.7109375" customWidth="1"/>
    <col min="11" max="11" width="11.28515625" bestFit="1" customWidth="1"/>
    <col min="12" max="12" width="16.42578125" customWidth="1"/>
    <col min="13" max="13" width="13.85546875" bestFit="1" customWidth="1"/>
    <col min="14" max="14" width="14.28515625" bestFit="1" customWidth="1"/>
    <col min="15" max="15" width="13.5703125" bestFit="1" customWidth="1"/>
    <col min="16" max="16" width="10" bestFit="1" customWidth="1"/>
    <col min="17" max="17" width="10.28515625" bestFit="1" customWidth="1"/>
    <col min="18" max="18" width="11.5703125" customWidth="1"/>
  </cols>
  <sheetData>
    <row r="1" spans="1:6" ht="15" customHeight="1" x14ac:dyDescent="0.25">
      <c r="A1" s="200" t="s">
        <v>244</v>
      </c>
      <c r="B1" s="200"/>
      <c r="C1" s="200"/>
      <c r="D1" s="200"/>
      <c r="E1" s="200"/>
      <c r="F1" s="200"/>
    </row>
    <row r="2" spans="1:6" ht="75" customHeight="1" thickBot="1" x14ac:dyDescent="0.3">
      <c r="A2" s="6" t="s">
        <v>185</v>
      </c>
      <c r="B2" s="6" t="s">
        <v>186</v>
      </c>
      <c r="C2" s="6" t="s">
        <v>187</v>
      </c>
      <c r="D2" s="6" t="s">
        <v>378</v>
      </c>
      <c r="E2" s="6" t="s">
        <v>188</v>
      </c>
      <c r="F2" s="155" t="s">
        <v>189</v>
      </c>
    </row>
    <row r="3" spans="1:6" ht="46.5" thickTop="1" thickBot="1" x14ac:dyDescent="0.3">
      <c r="A3" s="8">
        <v>1</v>
      </c>
      <c r="B3" s="18" t="s">
        <v>369</v>
      </c>
      <c r="C3" s="9" t="s">
        <v>187</v>
      </c>
      <c r="D3" s="10">
        <v>0</v>
      </c>
      <c r="E3" s="9">
        <v>14</v>
      </c>
      <c r="F3" s="19">
        <f>(E3*D3)</f>
        <v>0</v>
      </c>
    </row>
    <row r="4" spans="1:6" ht="46.5" thickTop="1" thickBot="1" x14ac:dyDescent="0.3">
      <c r="A4" s="11">
        <v>2</v>
      </c>
      <c r="B4" s="12" t="s">
        <v>372</v>
      </c>
      <c r="C4" s="25" t="s">
        <v>187</v>
      </c>
      <c r="D4" s="10">
        <v>0</v>
      </c>
      <c r="E4" s="25">
        <v>14</v>
      </c>
      <c r="F4" s="19">
        <f t="shared" ref="F4:F9" si="0">(E4*D4)</f>
        <v>0</v>
      </c>
    </row>
    <row r="5" spans="1:6" ht="31.5" thickTop="1" thickBot="1" x14ac:dyDescent="0.3">
      <c r="A5" s="8">
        <v>3</v>
      </c>
      <c r="B5" s="18" t="s">
        <v>259</v>
      </c>
      <c r="C5" s="9" t="s">
        <v>260</v>
      </c>
      <c r="D5" s="10">
        <v>0</v>
      </c>
      <c r="E5" s="9">
        <v>14</v>
      </c>
      <c r="F5" s="19">
        <f t="shared" si="0"/>
        <v>0</v>
      </c>
    </row>
    <row r="6" spans="1:6" ht="31.5" thickTop="1" thickBot="1" x14ac:dyDescent="0.3">
      <c r="A6" s="11">
        <v>4</v>
      </c>
      <c r="B6" s="12" t="s">
        <v>370</v>
      </c>
      <c r="C6" s="25" t="s">
        <v>225</v>
      </c>
      <c r="D6" s="10">
        <v>0</v>
      </c>
      <c r="E6" s="25">
        <v>14</v>
      </c>
      <c r="F6" s="19">
        <f t="shared" si="0"/>
        <v>0</v>
      </c>
    </row>
    <row r="7" spans="1:6" ht="31.5" thickTop="1" thickBot="1" x14ac:dyDescent="0.3">
      <c r="A7" s="8">
        <v>5</v>
      </c>
      <c r="B7" s="18" t="s">
        <v>257</v>
      </c>
      <c r="C7" s="9" t="s">
        <v>187</v>
      </c>
      <c r="D7" s="10">
        <v>0</v>
      </c>
      <c r="E7" s="9">
        <v>14</v>
      </c>
      <c r="F7" s="19">
        <f t="shared" si="0"/>
        <v>0</v>
      </c>
    </row>
    <row r="8" spans="1:6" ht="46.5" thickTop="1" thickBot="1" x14ac:dyDescent="0.3">
      <c r="A8" s="11">
        <v>6</v>
      </c>
      <c r="B8" s="12" t="s">
        <v>371</v>
      </c>
      <c r="C8" s="25" t="s">
        <v>187</v>
      </c>
      <c r="D8" s="10">
        <v>0</v>
      </c>
      <c r="E8" s="25">
        <v>2</v>
      </c>
      <c r="F8" s="19">
        <f t="shared" si="0"/>
        <v>0</v>
      </c>
    </row>
    <row r="9" spans="1:6" ht="31.5" thickTop="1" thickBot="1" x14ac:dyDescent="0.3">
      <c r="A9" s="8">
        <v>7</v>
      </c>
      <c r="B9" s="18" t="s">
        <v>261</v>
      </c>
      <c r="C9" s="9" t="s">
        <v>187</v>
      </c>
      <c r="D9" s="10">
        <v>0</v>
      </c>
      <c r="E9" s="9">
        <v>2</v>
      </c>
      <c r="F9" s="19">
        <f t="shared" si="0"/>
        <v>0</v>
      </c>
    </row>
    <row r="10" spans="1:6" ht="15.75" thickTop="1" x14ac:dyDescent="0.25">
      <c r="A10" s="20" t="s">
        <v>44</v>
      </c>
      <c r="B10" s="21"/>
      <c r="C10" s="21"/>
      <c r="D10" s="21"/>
      <c r="E10" s="21"/>
      <c r="F10" s="156">
        <f>(SUM(F3:F9))</f>
        <v>0</v>
      </c>
    </row>
    <row r="11" spans="1:6" x14ac:dyDescent="0.25">
      <c r="A11" s="22"/>
      <c r="B11" s="81" t="s">
        <v>258</v>
      </c>
      <c r="C11" s="24"/>
      <c r="D11" s="24"/>
      <c r="E11" s="24"/>
      <c r="F11" s="157">
        <f>(F10/12)/7</f>
        <v>0</v>
      </c>
    </row>
    <row r="13" spans="1:6" ht="24" customHeight="1" x14ac:dyDescent="0.25"/>
    <row r="14" spans="1:6" ht="70.5" customHeight="1" x14ac:dyDescent="0.25"/>
  </sheetData>
  <mergeCells count="1">
    <mergeCell ref="A1:F1"/>
  </mergeCells>
  <pageMargins left="0.75" right="0.75" top="1" bottom="1" header="0.5" footer="0.5"/>
  <pageSetup paperSize="9" scale="5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14"/>
  <sheetViews>
    <sheetView zoomScaleNormal="100" workbookViewId="0">
      <selection activeCell="C13" sqref="C13"/>
    </sheetView>
  </sheetViews>
  <sheetFormatPr defaultRowHeight="15" x14ac:dyDescent="0.25"/>
  <cols>
    <col min="2" max="2" width="68.42578125" customWidth="1"/>
    <col min="3" max="3" width="19.140625" customWidth="1"/>
    <col min="4" max="5" width="11.5703125" bestFit="1" customWidth="1"/>
    <col min="6" max="6" width="16" bestFit="1" customWidth="1"/>
    <col min="7" max="7" width="16.140625" bestFit="1" customWidth="1"/>
    <col min="8" max="8" width="9.85546875" bestFit="1" customWidth="1"/>
    <col min="9" max="9" width="19.28515625" customWidth="1"/>
    <col min="12" max="12" width="9.5703125" bestFit="1" customWidth="1"/>
  </cols>
  <sheetData>
    <row r="1" spans="1:12" x14ac:dyDescent="0.25">
      <c r="A1" s="200" t="s">
        <v>273</v>
      </c>
      <c r="B1" s="200"/>
      <c r="C1" s="200"/>
      <c r="D1" s="200"/>
      <c r="E1" s="200"/>
      <c r="F1" s="200"/>
      <c r="G1" s="200"/>
      <c r="H1" s="200"/>
      <c r="I1" s="200"/>
    </row>
    <row r="2" spans="1:12" ht="60.75" customHeight="1" thickBot="1" x14ac:dyDescent="0.3">
      <c r="A2" s="79" t="s">
        <v>185</v>
      </c>
      <c r="B2" s="79" t="s">
        <v>186</v>
      </c>
      <c r="C2" s="79" t="s">
        <v>262</v>
      </c>
      <c r="D2" s="79" t="s">
        <v>263</v>
      </c>
      <c r="E2" s="79" t="s">
        <v>264</v>
      </c>
      <c r="F2" s="79" t="s">
        <v>265</v>
      </c>
      <c r="G2" s="79" t="s">
        <v>266</v>
      </c>
      <c r="H2" s="79" t="s">
        <v>267</v>
      </c>
      <c r="I2" s="80" t="s">
        <v>180</v>
      </c>
    </row>
    <row r="3" spans="1:12" ht="15.75" thickTop="1" x14ac:dyDescent="0.25">
      <c r="A3" s="65">
        <v>1</v>
      </c>
      <c r="B3" s="66" t="s">
        <v>190</v>
      </c>
      <c r="C3" s="67">
        <f>1550*12</f>
        <v>18600</v>
      </c>
      <c r="D3" s="73">
        <f>1/800</f>
        <v>1.25E-3</v>
      </c>
      <c r="E3" s="73">
        <f>1/(800*6)</f>
        <v>2.0833333333333335E-4</v>
      </c>
      <c r="F3" s="68">
        <f>(+ASG!$D$117)*D3</f>
        <v>3.5612506706687732</v>
      </c>
      <c r="G3" s="68">
        <f>(ENCARREADO!$D$117)*E3</f>
        <v>0.78315000368169907</v>
      </c>
      <c r="H3" s="78">
        <f>(F3+G3)</f>
        <v>4.3444006743504726</v>
      </c>
      <c r="I3" s="59">
        <f>+H3*C3</f>
        <v>80805.852542918787</v>
      </c>
      <c r="L3" s="135"/>
    </row>
    <row r="4" spans="1:12" x14ac:dyDescent="0.25">
      <c r="A4" s="69">
        <v>2</v>
      </c>
      <c r="B4" s="70" t="s">
        <v>191</v>
      </c>
      <c r="C4" s="71">
        <f>390*12</f>
        <v>4680</v>
      </c>
      <c r="D4" s="74">
        <f>1/360</f>
        <v>2.7777777777777779E-3</v>
      </c>
      <c r="E4" s="74">
        <f>1/(360*6)</f>
        <v>4.6296296296296298E-4</v>
      </c>
      <c r="F4" s="280">
        <f>(+ASG!$D$117)*D4</f>
        <v>7.9138903792639406</v>
      </c>
      <c r="G4" s="280">
        <f>(ENCARREADO!$D$117)*E4</f>
        <v>1.7403333415148869</v>
      </c>
      <c r="H4" s="78">
        <f t="shared" ref="H4:H9" si="0">(F4+G4)</f>
        <v>9.6542237207788268</v>
      </c>
      <c r="I4" s="72">
        <f t="shared" ref="I4:I9" si="1">+H4*C4</f>
        <v>45181.767013244913</v>
      </c>
      <c r="L4" s="135"/>
    </row>
    <row r="5" spans="1:12" x14ac:dyDescent="0.25">
      <c r="A5" s="65">
        <v>3</v>
      </c>
      <c r="B5" s="66" t="s">
        <v>192</v>
      </c>
      <c r="C5" s="67">
        <f>800*12</f>
        <v>9600</v>
      </c>
      <c r="D5" s="75">
        <f>1/1000</f>
        <v>1E-3</v>
      </c>
      <c r="E5" s="75">
        <f>1/(1000*6)</f>
        <v>1.6666666666666666E-4</v>
      </c>
      <c r="F5" s="68">
        <f>(+ASG!$D$117)*D5</f>
        <v>2.8490005365350184</v>
      </c>
      <c r="G5" s="68">
        <f>(ENCARREADO!$D$117)*E5</f>
        <v>0.62652000294535926</v>
      </c>
      <c r="H5" s="78">
        <f t="shared" si="0"/>
        <v>3.4755205394803776</v>
      </c>
      <c r="I5" s="68">
        <f>+H5*C5</f>
        <v>33364.997179011625</v>
      </c>
      <c r="L5" s="135"/>
    </row>
    <row r="6" spans="1:12" x14ac:dyDescent="0.25">
      <c r="A6" s="69">
        <v>4</v>
      </c>
      <c r="B6" s="70" t="s">
        <v>193</v>
      </c>
      <c r="C6" s="71">
        <f>250*12</f>
        <v>3000</v>
      </c>
      <c r="D6" s="74">
        <f>1/200</f>
        <v>5.0000000000000001E-3</v>
      </c>
      <c r="E6" s="74">
        <f>1/(200*6)</f>
        <v>8.3333333333333339E-4</v>
      </c>
      <c r="F6" s="280">
        <f>(+ASG!$D$117)*D6</f>
        <v>14.245002682675093</v>
      </c>
      <c r="G6" s="280">
        <f>(ENCARREADO!$D$117)*E6</f>
        <v>3.1326000147267963</v>
      </c>
      <c r="H6" s="78">
        <f t="shared" si="0"/>
        <v>17.37760269740189</v>
      </c>
      <c r="I6" s="72">
        <f t="shared" si="1"/>
        <v>52132.808092205669</v>
      </c>
      <c r="L6" s="135"/>
    </row>
    <row r="7" spans="1:12" x14ac:dyDescent="0.25">
      <c r="A7" s="65">
        <v>5</v>
      </c>
      <c r="B7" s="66" t="s">
        <v>194</v>
      </c>
      <c r="C7" s="67">
        <f>5000*12</f>
        <v>60000</v>
      </c>
      <c r="D7" s="75">
        <f>1/6000</f>
        <v>1.6666666666666666E-4</v>
      </c>
      <c r="E7" s="75">
        <f>1/(6000*6)</f>
        <v>2.7777777777777779E-5</v>
      </c>
      <c r="F7" s="68">
        <f>(+ASG!$D$117)*D7</f>
        <v>0.4748334227558364</v>
      </c>
      <c r="G7" s="68">
        <f>(ENCARREADO!$D$117)*E7</f>
        <v>0.10442000049089321</v>
      </c>
      <c r="H7" s="78">
        <f t="shared" si="0"/>
        <v>0.57925342324672957</v>
      </c>
      <c r="I7" s="68">
        <f t="shared" si="1"/>
        <v>34755.205394803772</v>
      </c>
      <c r="L7" s="135"/>
    </row>
    <row r="8" spans="1:12" x14ac:dyDescent="0.25">
      <c r="A8" s="69">
        <v>6</v>
      </c>
      <c r="B8" s="70" t="s">
        <v>195</v>
      </c>
      <c r="C8" s="71">
        <f>120*12</f>
        <v>1440</v>
      </c>
      <c r="D8" s="74">
        <f>1/300*16*(1/188.76)</f>
        <v>2.8254573709119167E-4</v>
      </c>
      <c r="E8" s="74">
        <f>1/(300*6)*16*(1/188.76)</f>
        <v>4.7090956181865278E-5</v>
      </c>
      <c r="F8" s="280">
        <f>(+ASG!$D$117)*D8</f>
        <v>0.80497295656848733</v>
      </c>
      <c r="G8" s="280">
        <f>(ENCARREADO!$D$117)*E8</f>
        <v>0.17702055603457209</v>
      </c>
      <c r="H8" s="78">
        <f t="shared" si="0"/>
        <v>0.98199351260305945</v>
      </c>
      <c r="I8" s="72">
        <f t="shared" si="1"/>
        <v>1414.0706581484055</v>
      </c>
      <c r="L8" s="135"/>
    </row>
    <row r="9" spans="1:12" x14ac:dyDescent="0.25">
      <c r="A9" s="65">
        <v>7</v>
      </c>
      <c r="B9" s="66" t="s">
        <v>367</v>
      </c>
      <c r="C9" s="67">
        <f>220*12</f>
        <v>2640</v>
      </c>
      <c r="D9" s="75">
        <f>1/300*16*(1/188.76)</f>
        <v>2.8254573709119167E-4</v>
      </c>
      <c r="E9" s="75">
        <f>1/(300*6)*16*(1/188.76)</f>
        <v>4.7090956181865278E-5</v>
      </c>
      <c r="F9" s="68">
        <f>(+ASG!$D$117)*D9</f>
        <v>0.80497295656848733</v>
      </c>
      <c r="G9" s="68">
        <f>(ENCARREADO!$D$117)*E9</f>
        <v>0.17702055603457209</v>
      </c>
      <c r="H9" s="78">
        <f t="shared" si="0"/>
        <v>0.98199351260305945</v>
      </c>
      <c r="I9" s="68">
        <f t="shared" si="1"/>
        <v>2592.4628732720771</v>
      </c>
      <c r="L9" s="135"/>
    </row>
    <row r="10" spans="1:12" ht="15.75" thickBot="1" x14ac:dyDescent="0.3">
      <c r="A10" s="5"/>
      <c r="B10" s="6" t="s">
        <v>269</v>
      </c>
      <c r="C10" s="6">
        <f>SUM(C3:C9)</f>
        <v>99960</v>
      </c>
      <c r="D10" s="6"/>
      <c r="E10" s="6"/>
      <c r="F10" s="6"/>
      <c r="G10" s="6"/>
      <c r="H10" s="6"/>
      <c r="I10" s="77">
        <f>SUM(I3:I9)</f>
        <v>250247.16375360524</v>
      </c>
      <c r="L10" s="135"/>
    </row>
    <row r="11" spans="1:12" ht="16.5" thickTop="1" thickBot="1" x14ac:dyDescent="0.3">
      <c r="A11" s="5"/>
      <c r="B11" s="6" t="s">
        <v>268</v>
      </c>
      <c r="C11" s="6"/>
      <c r="D11" s="6"/>
      <c r="E11" s="6"/>
      <c r="F11" s="6"/>
      <c r="G11" s="6"/>
      <c r="H11" s="6"/>
      <c r="I11" s="77">
        <f>+I10/12</f>
        <v>20853.930312800436</v>
      </c>
      <c r="L11" s="135"/>
    </row>
    <row r="12" spans="1:12" ht="15.75" thickTop="1" x14ac:dyDescent="0.25">
      <c r="A12" s="76" t="s">
        <v>271</v>
      </c>
      <c r="B12" s="76"/>
    </row>
    <row r="13" spans="1:12" x14ac:dyDescent="0.25">
      <c r="A13" s="76" t="s">
        <v>272</v>
      </c>
      <c r="B13" s="76"/>
    </row>
    <row r="14" spans="1:12" x14ac:dyDescent="0.25">
      <c r="A14" s="76"/>
      <c r="B14" s="76"/>
    </row>
  </sheetData>
  <mergeCells count="1">
    <mergeCell ref="A1:I1"/>
  </mergeCells>
  <pageMargins left="0.511811024" right="0.511811024" top="0.78740157499999996" bottom="0.78740157499999996" header="0.31496062000000002" footer="0.31496062000000002"/>
  <pageSetup paperSize="9" scale="75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 T a b l e 3 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 T a b l e 3 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 C o l u m n s \ D e s c r i � � o < / K e y > < / D i a g r a m O b j e c t K e y > < D i a g r a m O b j e c t K e y > < K e y > C o l u m n s \ T i p o < / K e y > < / D i a g r a m O b j e c t K e y > < D i a g r a m O b j e c t K e y > < K e y > C o l u m n s \ Q u a n t i d a d e < / K e y > < / D i a g r a m O b j e c t K e y > < D i a g r a m O b j e c t K e y > < K e y > C o l u m n s \ F r e q u � n c i a   n o   m � s / s e m e s t r e < / K e y > < / D i a g r a m O b j e c t K e y > < D i a g r a m O b j e c t K e y > < K e y > C o l u m n s \ J o r n a d a   d e   T r a b a l h o   n o   m � s / S e m e s t r e < / K e y > < / D i a g r a m O b j e c t K e y > < D i a g r a m O b j e c t K e y > < K e y > C o l u m n s \ P r o d u t i v i d a d e   M � n i m a < / K e y > < / D i a g r a m O b j e c t K e y > < D i a g r a m O b j e c t K e y > < K e y > C o l u m n s \ P r o d u t i v i d a d e   M � x i m a < / K e y > < / D i a g r a m O b j e c t K e y > < D i a g r a m O b j e c t K e y > < K e y > C o l u m n s \ P r o d u t i v i d a d e   M � d i a < / K e y > < / D i a g r a m O b j e c t K e y > < D i a g r a m O b j e c t K e y > < K e y > C o l u m n s \ P r o d u t i v i d a d e   P e r s o n a l i z a d a < / K e y > < / D i a g r a m O b j e c t K e y > < D i a g r a m O b j e c t K e y > < K e y > C o l u m n s \ K i < / K e y > < / D i a g r a m O b j e c t K e y > < D i a g r a m O b j e c t K e y > < K e y > C o l u m n s \ Q t d e .   S e r v e n t e s < / K e y > < / D i a g r a m O b j e c t K e y > < D i a g r a m O b j e c t K e y > < K e y > C o l u m n s \ K i   a j u s t a d o < / K e y > < / D i a g r a m O b j e c t K e y > < D i a g r a m O b j e c t K e y > < K e y > C o l u m n s \ Q t e   a j u s t a d a < / K e y > < / D i a g r a m O b j e c t K e y > < D i a g r a m O b j e c t K e y > < K e y > C o l u m n s \ P r o d u t i v i d a d e 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 C o l u m n s \ D e s c r i � � o 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 C o l u m n s \ T i p o 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 C o l u m n s \ Q u a n t i d a d e 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 C o l u m n s \ F r e q u � n c i a   n o   m � s / s e m e s t r e 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 C o l u m n s \ J o r n a d a   d e   T r a b a l h o   n o   m � s / S e m e s t r e 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 C o l u m n s \ P r o d u t i v i d a d e   M � n i m a 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 C o l u m n s \ P r o d u t i v i d a d e   M � x i m a 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 C o l u m n s \ P r o d u t i v i d a d e   M � d i a 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 C o l u m n s \ P r o d u t i v i d a d e   P e r s o n a l i z a d a 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 C o l u m n s \ K i 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 C o l u m n s \ Q t d e .   S e r v e n t e s 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 C o l u m n s \ K i   a j u s t a d o 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 C o l u m n s \ Q t e   a j u s t a d a 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 C o l u m n s \ P r o d u t i v i d a d e 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 T a g s \ T a b l e s \ & l t ; T a b l e s \ T a b l e 3 & g t ; < / K e y > < / D i a g r a m O b j e c t K e y > < D i a g r a m O b j e c t K e y > < K e y > T a b l e s \ T a b l e 3 < / K e y > < / D i a g r a m O b j e c t K e y > < D i a g r a m O b j e c t K e y > < K e y > T a b l e s \ T a b l e 3 \ C o l u m n s \ D e s c r i � � o < / K e y > < / D i a g r a m O b j e c t K e y > < D i a g r a m O b j e c t K e y > < K e y > T a b l e s \ T a b l e 3 \ C o l u m n s \ T i p o < / K e y > < / D i a g r a m O b j e c t K e y > < D i a g r a m O b j e c t K e y > < K e y > T a b l e s \ T a b l e 3 \ C o l u m n s \ Q u a n t i d a d e < / K e y > < / D i a g r a m O b j e c t K e y > < D i a g r a m O b j e c t K e y > < K e y > T a b l e s \ T a b l e 3 \ C o l u m n s \ F r e q u � n c i a   n o   m � s / s e m e s t r e < / K e y > < / D i a g r a m O b j e c t K e y > < D i a g r a m O b j e c t K e y > < K e y > T a b l e s \ T a b l e 3 \ C o l u m n s \ J o r n a d a   d e   T r a b a l h o   n o   m � s / S e m e s t r e < / K e y > < / D i a g r a m O b j e c t K e y > < D i a g r a m O b j e c t K e y > < K e y > T a b l e s \ T a b l e 3 \ C o l u m n s \ P r o d u t i v i d a d e   M � n i m a < / K e y > < / D i a g r a m O b j e c t K e y > < D i a g r a m O b j e c t K e y > < K e y > T a b l e s \ T a b l e 3 \ C o l u m n s \ P r o d u t i v i d a d e   M � x i m a < / K e y > < / D i a g r a m O b j e c t K e y > < D i a g r a m O b j e c t K e y > < K e y > T a b l e s \ T a b l e 3 \ C o l u m n s \ P r o d u t i v i d a d e   M � d i a < / K e y > < / D i a g r a m O b j e c t K e y > < D i a g r a m O b j e c t K e y > < K e y > T a b l e s \ T a b l e 3 \ C o l u m n s \ P r o d u t i v i d a d e   P e r s o n a l i z a d a < / K e y > < / D i a g r a m O b j e c t K e y > < D i a g r a m O b j e c t K e y > < K e y > T a b l e s \ T a b l e 3 \ C o l u m n s \ K i < / K e y > < / D i a g r a m O b j e c t K e y > < D i a g r a m O b j e c t K e y > < K e y > T a b l e s \ T a b l e 3 \ C o l u m n s \ Q t d e .   S e r v e n t e s < / K e y > < / D i a g r a m O b j e c t K e y > < D i a g r a m O b j e c t K e y > < K e y > T a b l e s \ T a b l e 3 \ C o l u m n s \ K i   a j u s t a d o < / K e y > < / D i a g r a m O b j e c t K e y > < D i a g r a m O b j e c t K e y > < K e y > T a b l e s \ T a b l e 3 \ C o l u m n s \ Q t e   a j u s t a d a < / K e y > < / D i a g r a m O b j e c t K e y > < D i a g r a m O b j e c t K e y > < K e y > T a b l e s \ T a b l e 3 \ C o l u m n s \ P r o d u t i v i d a d e < / K e y > < / D i a g r a m O b j e c t K e y > < / A l l K e y s > < S e l e c t e d K e y s > < D i a g r a m O b j e c t K e y > < K e y > T a b l e s \ T a b l e 3 \ C o l u m n s \ P r o d u t i v i d a d e 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 T a g s \ T a b l e s \ & l t ; T a b l e s \ T a b l e 3 & g t ; 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 T a b l e s \ T a b l e 3 < / K e y > < / a : K e y > < a : V a l u e   i : t y p e = " D i a g r a m D i s p l a y N o d e V i e w S t a t e " > < H e i g h t > 4 4 4 < / H e i g h t > < I s E x p a n d e d > t r u e < / I s E x p a n d e d > < L a y e d O u t > t r u e < / L a y e d O u t > < W i d t h > 6 2 2 < / W i d t h > < / a : V a l u e > < / a : K e y V a l u e O f D i a g r a m O b j e c t K e y a n y T y p e z b w N T n L X > < a : K e y V a l u e O f D i a g r a m O b j e c t K e y a n y T y p e z b w N T n L X > < a : K e y > < K e y > T a b l e s \ T a b l e 3 \ C o l u m n s \ D e s c r i � � o 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 T a b l e s \ T a b l e 3 \ C o l u m n s \ T i p o 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 T a b l e s \ T a b l e 3 \ C o l u m n s \ Q u a n t i d a d e 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 T a b l e s \ T a b l e 3 \ C o l u m n s \ F r e q u � n c i a   n o   m � s / s e m e s t r e 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 T a b l e s \ T a b l e 3 \ C o l u m n s \ J o r n a d a   d e   T r a b a l h o   n o   m � s / S e m e s t r e 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 T a b l e s \ T a b l e 3 \ C o l u m n s \ P r o d u t i v i d a d e   M � n i m a 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 T a b l e s \ T a b l e 3 \ C o l u m n s \ P r o d u t i v i d a d e   M � x i m a 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 T a b l e s \ T a b l e 3 \ C o l u m n s \ P r o d u t i v i d a d e   M � d i a 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 T a b l e s \ T a b l e 3 \ C o l u m n s \ P r o d u t i v i d a d e   P e r s o n a l i z a d a 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 T a b l e s \ T a b l e 3 \ C o l u m n s \ K i 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 T a b l e s \ T a b l e 3 \ C o l u m n s \ Q t d e .   S e r v e n t e s 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 T a b l e s \ T a b l e 3 \ C o l u m n s \ K i   a j u s t a d o 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 T a b l e s \ T a b l e 3 \ C o l u m n s \ Q t e   a j u s t a d a 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 T a b l e s \ T a b l e 3 \ C o l u m n s \ P r o d u t i v i d a d e 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O r d e r " > < C u s t o m C o n t e n t > < ! [ C D A T A [ T a b l e 3 ] ] > < / C u s t o m C o n t e n t > < / G e m i n i > 
</file>

<file path=customXml/item11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 T a b l e 3 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 T a b l e 3 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 T a b l e 3 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 C o l u m n s \ D e s c r i � � o 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 C o l u m n s \ T i p o 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 C o l u m n s \ Q u a n t i d a d e 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 C o l u m n s \ F r e q u � n c i a   n o   m � s / s e m e s t r e 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 C o l u m n s \ J o r n a d a   d e   T r a b a l h o   n o   m � s / S e m e s t r e 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 C o l u m n s \ P r o d u t i v i d a d e   M � n i m a 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 C o l u m n s \ P r o d u t i v i d a d e   M � x i m a 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 C o l u m n s \ P r o d u t i v i d a d e   M � d i a 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 C o l u m n s \ P r o d u t i v i d a d e   P e r s o n a l i z a d a 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 C o l u m n s \ Q t d e .   S e r v e n t e s 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 C o l u m n s \ K i   a j u s t a d o 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 C o l u m n s \ Q t e   a j u s t a d a 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 C o l u m n s \ P r o d u t i v i d a d e 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6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7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2.xml>��< ? x m l   v e r s i o n = " 1 . 0 "   e n c o d i n g = " U T F - 1 6 " ? > < G e m i n i   x m l n s = " h t t p : / / g e m i n i / p i v o t c u s t o m i z a t i o n / C l i e n t W i n d o w X M L " > < C u s t o m C o n t e n t > < ! [ C D A T A [ T a b l e 3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4.xml>��< ? x m l   v e r s i o n = " 1 . 0 "   e n c o d i n g = " u t f - 1 6 " ? > < D a t a M a s h u p   s q m i d = " e 2 a 4 9 9 5 0 - 3 2 8 9 - 4 a 8 a - 8 9 5 b - 5 3 c 5 1 3 3 4 b 7 5 1 "   x m l n s = " h t t p : / / s c h e m a s . m i c r o s o f t . c o m / D a t a M a s h u p " > A A A A A B Y D A A B Q S w M E F A A C A A g A y A h Y T s z Z p g S m A A A A + A A A A B I A H A B D b 2 5 m a W c v U G F j a 2 F n Z S 5 4 b W w g o h g A K K A U A A A A A A A A A A A A A A A A A A A A A A A A A A A A h Y / N C o J A G E V f R W b v / C i G y O c I t U 2 I g m g 7 j J M O 6 S j O m L 5 b i x 6 p V 0 g o q 1 3 L e z i L c x + 3 O 2 R T U 3 t X 1 V v d m h Q x T J G n j G w L b c o U D e 7 s x y j j s B P y I k r l z b K x y W S L F F X O d Q k h 4 z j i M c R t X 5 K A U k Z O + f Y g K 9 U I 9 J H 1 f 9 n X x j p h p E I c j q 8 Y H u B V h K O Q h Z j F D M i C I d f m q w R z M a Z A f i B s h t o N v e K d 8 9 d 7 I M s E 8 n 7 B n 1 B L A w Q U A A I A C A D I C F h O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y A h Y T i i K R 7 g O A A A A E Q A A A B M A H A B G b 3 J t d W x h c y 9 T Z W N 0 a W 9 u M S 5 t I K I Y A C i g F A A A A A A A A A A A A A A A A A A A A A A A A A A A A C t O T S 7 J z M 9 T C I b Q h t Y A U E s B A i 0 A F A A C A A g A y A h Y T s z Z p g S m A A A A + A A A A B I A A A A A A A A A A A A A A A A A A A A A A E N v b m Z p Z y 9 Q Y W N r Y W d l L n h t b F B L A Q I t A B Q A A g A I A M g I W E 4 P y u m r p A A A A O k A A A A T A A A A A A A A A A A A A A A A A P I A A A B b Q 2 9 u d G V u d F 9 U e X B l c 1 0 u e G 1 s U E s B A i 0 A F A A C A A g A y A h Y T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H t h z y a I / h t C p d F H y o F 5 j w w A A A A A A g A A A A A A E G Y A A A A B A A A g A A A A 3 7 M m + 8 3 8 3 3 9 e P c d k A P 1 i B T + D w a I V n 4 + W + q t 3 X z F y 0 8 U A A A A A D o A A A A A C A A A g A A A A S o N 8 V a H s b r 0 o R L r a M 5 S d Z C f C 8 7 4 o u d E H T y P h o v D + + b 1 Q A A A A O 8 T X n P O o k 6 M o V w g b L 4 t X i Q z 2 3 7 j e J H C Y 4 n i L h 6 1 5 S 7 / P H E m 8 V l z Q u U e m l o R R A f s g 7 6 m U K j K s o m + o u 7 P 4 g G U a 5 C z 0 H A / L Y t B a T Z N T 7 g Q b v h V A A A A A d E z x s j J U 1 a 7 f p b r g d y f V N 7 1 y u G O / + g I O T d e h W n c W 7 / X X W S 1 n 3 I i Y d N y j 1 n U H y F 5 U x g f X V v o F w / f t t z a O w k o e X A = = < / D a t a M a s h u p > 
</file>

<file path=customXml/item5.xml>��< ? x m l   v e r s i o n = " 1 . 0 "   e n c o d i n g = " U T F - 1 6 " ? > < G e m i n i   x m l n s = " h t t p : / / g e m i n i / p i v o t c u s t o m i z a t i o n / T a b l e X M L _ T a b l e 3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 D e s c r i � � o < / s t r i n g > < / k e y > < v a l u e > < i n t > 2 5 2 < / i n t > < / v a l u e > < / i t e m > < i t e m > < k e y > < s t r i n g > T i p o < / s t r i n g > < / k e y > < v a l u e > < i n t > 6 3 < / i n t > < / v a l u e > < / i t e m > < i t e m > < k e y > < s t r i n g > Q u a n t i d a d e < / s t r i n g > < / k e y > < v a l u e > < i n t > 1 0 8 < / i n t > < / v a l u e > < / i t e m > < i t e m > < k e y > < s t r i n g > F r e q u � n c i a   n o   m � s / s e m e s t r e < / s t r i n g > < / k e y > < v a l u e > < i n t > 1 4 6 < / i n t > < / v a l u e > < / i t e m > < i t e m > < k e y > < s t r i n g > J o r n a d a   d e   T r a b a l h o   n o   m � s / S e m e s t r e < / s t r i n g > < / k e y > < v a l u e > < i n t > 2 7 2 < / i n t > < / v a l u e > < / i t e m > < i t e m > < k e y > < s t r i n g > P r o d u t i v i d a d e   M � n i m a < / s t r i n g > < / k e y > < v a l u e > < i n t > 1 7 2 < / i n t > < / v a l u e > < / i t e m > < i t e m > < k e y > < s t r i n g > P r o d u t i v i d a d e   M � x i m a < / s t r i n g > < / k e y > < v a l u e > < i n t > 1 7 5 < / i n t > < / v a l u e > < / i t e m > < i t e m > < k e y > < s t r i n g > P r o d u t i v i d a d e   M � d i a < / s t r i n g > < / k e y > < v a l u e > < i n t > 1 6 5 < / i n t > < / v a l u e > < / i t e m > < i t e m > < k e y > < s t r i n g > P r o d u t i v i d a d e   P e r s o n a l i z a d a < / s t r i n g > < / k e y > < v a l u e > < i n t > 2 1 2 < / i n t > < / v a l u e > < / i t e m > < i t e m > < k e y > < s t r i n g > K i < / s t r i n g > < / k e y > < v a l u e > < i n t > 4 8 < / i n t > < / v a l u e > < / i t e m > < i t e m > < k e y > < s t r i n g > Q t d e .   S e r v e n t e s < / s t r i n g > < / k e y > < v a l u e > < i n t > 1 3 6 < / i n t > < / v a l u e > < / i t e m > < i t e m > < k e y > < s t r i n g > K i   a j u s t a d o < / s t r i n g > < / k e y > < v a l u e > < i n t > 1 0 4 < / i n t > < / v a l u e > < / i t e m > < i t e m > < k e y > < s t r i n g > Q t e   a j u s t a d a < / s t r i n g > < / k e y > < v a l u e > < i n t > 1 1 4 < / i n t > < / v a l u e > < / i t e m > < i t e m > < k e y > < s t r i n g > P r o d u t i v i d a d e < / s t r i n g > < / k e y > < v a l u e > < i n t > 1 7 8 < / i n t > < / v a l u e > < / i t e m > < / C o l u m n W i d t h s > < C o l u m n D i s p l a y I n d e x > < i t e m > < k e y > < s t r i n g > D e s c r i � � o < / s t r i n g > < / k e y > < v a l u e > < i n t > 0 < / i n t > < / v a l u e > < / i t e m > < i t e m > < k e y > < s t r i n g > T i p o < / s t r i n g > < / k e y > < v a l u e > < i n t > 1 < / i n t > < / v a l u e > < / i t e m > < i t e m > < k e y > < s t r i n g > Q u a n t i d a d e < / s t r i n g > < / k e y > < v a l u e > < i n t > 2 < / i n t > < / v a l u e > < / i t e m > < i t e m > < k e y > < s t r i n g > F r e q u � n c i a   n o   m � s / s e m e s t r e < / s t r i n g > < / k e y > < v a l u e > < i n t > 3 < / i n t > < / v a l u e > < / i t e m > < i t e m > < k e y > < s t r i n g > J o r n a d a   d e   T r a b a l h o   n o   m � s / S e m e s t r e < / s t r i n g > < / k e y > < v a l u e > < i n t > 4 < / i n t > < / v a l u e > < / i t e m > < i t e m > < k e y > < s t r i n g > P r o d u t i v i d a d e   M � n i m a < / s t r i n g > < / k e y > < v a l u e > < i n t > 5 < / i n t > < / v a l u e > < / i t e m > < i t e m > < k e y > < s t r i n g > P r o d u t i v i d a d e   M � x i m a < / s t r i n g > < / k e y > < v a l u e > < i n t > 6 < / i n t > < / v a l u e > < / i t e m > < i t e m > < k e y > < s t r i n g > P r o d u t i v i d a d e   M � d i a < / s t r i n g > < / k e y > < v a l u e > < i n t > 7 < / i n t > < / v a l u e > < / i t e m > < i t e m > < k e y > < s t r i n g > P r o d u t i v i d a d e   P e r s o n a l i z a d a < / s t r i n g > < / k e y > < v a l u e > < i n t > 8 < / i n t > < / v a l u e > < / i t e m > < i t e m > < k e y > < s t r i n g > K i < / s t r i n g > < / k e y > < v a l u e > < i n t > 9 < / i n t > < / v a l u e > < / i t e m > < i t e m > < k e y > < s t r i n g > Q t d e .   S e r v e n t e s < / s t r i n g > < / k e y > < v a l u e > < i n t > 1 0 < / i n t > < / v a l u e > < / i t e m > < i t e m > < k e y > < s t r i n g > K i   a j u s t a d o < / s t r i n g > < / k e y > < v a l u e > < i n t > 1 1 < / i n t > < / v a l u e > < / i t e m > < i t e m > < k e y > < s t r i n g > Q t e   a j u s t a d a < / s t r i n g > < / k e y > < v a l u e > < i n t > 1 2 < / i n t > < / v a l u e > < / i t e m > < i t e m > < k e y > < s t r i n g > P r o d u t i v i d a d e < / s t r i n g > < / k e y > < v a l u e > < i n t > 1 3 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9 5 8 ] ] > < / C u s t o m C o n t e n t > < / G e m i n i > 
</file>

<file path=customXml/item7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 2 0 1 9 - 0 2 - 2 4 T 0 9 : 4 5 : 1 6 . 4 5 6 9 3 8 4 - 0 3 : 0 0 < / L a s t P r o c e s s e d T i m e > < / D a t a M o d e l i n g S a n d b o x . S e r i a l i z e d S a n d b o x E r r o r C a c h e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3D0EB289-6ADA-4ABF-954F-CBB24501EBB1}">
  <ds:schemaRefs/>
</ds:datastoreItem>
</file>

<file path=customXml/itemProps10.xml><?xml version="1.0" encoding="utf-8"?>
<ds:datastoreItem xmlns:ds="http://schemas.openxmlformats.org/officeDocument/2006/customXml" ds:itemID="{5F29046F-1CBC-4FD4-80CF-724367A55723}">
  <ds:schemaRefs/>
</ds:datastoreItem>
</file>

<file path=customXml/itemProps11.xml><?xml version="1.0" encoding="utf-8"?>
<ds:datastoreItem xmlns:ds="http://schemas.openxmlformats.org/officeDocument/2006/customXml" ds:itemID="{D24CE791-0A0A-4653-9537-015962008E36}">
  <ds:schemaRefs/>
</ds:datastoreItem>
</file>

<file path=customXml/itemProps12.xml><?xml version="1.0" encoding="utf-8"?>
<ds:datastoreItem xmlns:ds="http://schemas.openxmlformats.org/officeDocument/2006/customXml" ds:itemID="{AF3839CB-EB85-4B93-B2E6-2A84403A12C5}">
  <ds:schemaRefs/>
</ds:datastoreItem>
</file>

<file path=customXml/itemProps13.xml><?xml version="1.0" encoding="utf-8"?>
<ds:datastoreItem xmlns:ds="http://schemas.openxmlformats.org/officeDocument/2006/customXml" ds:itemID="{FE54B4C3-285F-47A7-802F-1DF735C12624}">
  <ds:schemaRefs/>
</ds:datastoreItem>
</file>

<file path=customXml/itemProps14.xml><?xml version="1.0" encoding="utf-8"?>
<ds:datastoreItem xmlns:ds="http://schemas.openxmlformats.org/officeDocument/2006/customXml" ds:itemID="{7AF3AD75-BA31-4F4A-984F-395A7399A996}">
  <ds:schemaRefs/>
</ds:datastoreItem>
</file>

<file path=customXml/itemProps15.xml><?xml version="1.0" encoding="utf-8"?>
<ds:datastoreItem xmlns:ds="http://schemas.openxmlformats.org/officeDocument/2006/customXml" ds:itemID="{44A77694-12D2-45C6-BC21-B74C17479B00}">
  <ds:schemaRefs/>
</ds:datastoreItem>
</file>

<file path=customXml/itemProps16.xml><?xml version="1.0" encoding="utf-8"?>
<ds:datastoreItem xmlns:ds="http://schemas.openxmlformats.org/officeDocument/2006/customXml" ds:itemID="{46933E33-13A0-4B69-B2FA-6AAEDB07CE8E}">
  <ds:schemaRefs/>
</ds:datastoreItem>
</file>

<file path=customXml/itemProps17.xml><?xml version="1.0" encoding="utf-8"?>
<ds:datastoreItem xmlns:ds="http://schemas.openxmlformats.org/officeDocument/2006/customXml" ds:itemID="{D60EC4F2-A7A0-467F-9B3F-475B4E9FD7CF}">
  <ds:schemaRefs/>
</ds:datastoreItem>
</file>

<file path=customXml/itemProps2.xml><?xml version="1.0" encoding="utf-8"?>
<ds:datastoreItem xmlns:ds="http://schemas.openxmlformats.org/officeDocument/2006/customXml" ds:itemID="{102A8123-E0B1-4E0D-AFB0-8D7CF46718CC}">
  <ds:schemaRefs/>
</ds:datastoreItem>
</file>

<file path=customXml/itemProps3.xml><?xml version="1.0" encoding="utf-8"?>
<ds:datastoreItem xmlns:ds="http://schemas.openxmlformats.org/officeDocument/2006/customXml" ds:itemID="{E7DDFF85-C6C0-4AA7-BEBD-C27D20512296}">
  <ds:schemaRefs/>
</ds:datastoreItem>
</file>

<file path=customXml/itemProps4.xml><?xml version="1.0" encoding="utf-8"?>
<ds:datastoreItem xmlns:ds="http://schemas.openxmlformats.org/officeDocument/2006/customXml" ds:itemID="{B16AAB40-06F4-435D-8AEF-E5DD6D81CDCA}">
  <ds:schemaRefs/>
</ds:datastoreItem>
</file>

<file path=customXml/itemProps5.xml><?xml version="1.0" encoding="utf-8"?>
<ds:datastoreItem xmlns:ds="http://schemas.openxmlformats.org/officeDocument/2006/customXml" ds:itemID="{3E7DADF5-98D3-409D-B380-09EE56B84F94}">
  <ds:schemaRefs/>
</ds:datastoreItem>
</file>

<file path=customXml/itemProps6.xml><?xml version="1.0" encoding="utf-8"?>
<ds:datastoreItem xmlns:ds="http://schemas.openxmlformats.org/officeDocument/2006/customXml" ds:itemID="{4221D6DA-6518-4041-9D3B-13E6A4AC98E7}">
  <ds:schemaRefs/>
</ds:datastoreItem>
</file>

<file path=customXml/itemProps7.xml><?xml version="1.0" encoding="utf-8"?>
<ds:datastoreItem xmlns:ds="http://schemas.openxmlformats.org/officeDocument/2006/customXml" ds:itemID="{9BACF4D7-AB33-456E-B4D8-64981D96218B}">
  <ds:schemaRefs/>
</ds:datastoreItem>
</file>

<file path=customXml/itemProps8.xml><?xml version="1.0" encoding="utf-8"?>
<ds:datastoreItem xmlns:ds="http://schemas.openxmlformats.org/officeDocument/2006/customXml" ds:itemID="{D59F7F65-5792-4AFD-807E-6EF0ED8CC599}">
  <ds:schemaRefs/>
</ds:datastoreItem>
</file>

<file path=customXml/itemProps9.xml><?xml version="1.0" encoding="utf-8"?>
<ds:datastoreItem xmlns:ds="http://schemas.openxmlformats.org/officeDocument/2006/customXml" ds:itemID="{32804E0E-2ECA-4E83-87CF-BB27BCF3B2F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32</vt:i4>
      </vt:variant>
    </vt:vector>
  </HeadingPairs>
  <TitlesOfParts>
    <vt:vector size="40" baseType="lpstr">
      <vt:lpstr>Servente</vt:lpstr>
      <vt:lpstr>Encarregado</vt:lpstr>
      <vt:lpstr>Quadro Resumo</vt:lpstr>
      <vt:lpstr>ASG</vt:lpstr>
      <vt:lpstr>ENCARREADO</vt:lpstr>
      <vt:lpstr>Materiais e Equipamentos</vt:lpstr>
      <vt:lpstr>Uniformes</vt:lpstr>
      <vt:lpstr>Áreas e Produtividade</vt:lpstr>
      <vt:lpstr>Encarregado!_1A</vt:lpstr>
      <vt:lpstr>Servente!_1A</vt:lpstr>
      <vt:lpstr>Encarregado!_1B</vt:lpstr>
      <vt:lpstr>Servente!_1B</vt:lpstr>
      <vt:lpstr>Encarregado!_1C</vt:lpstr>
      <vt:lpstr>Servente!_1C</vt:lpstr>
      <vt:lpstr>Encarregado!_1D</vt:lpstr>
      <vt:lpstr>Servente!_1D</vt:lpstr>
      <vt:lpstr>Encarregado!_1E</vt:lpstr>
      <vt:lpstr>Servente!_1E</vt:lpstr>
      <vt:lpstr>Encarregado!_1F</vt:lpstr>
      <vt:lpstr>Servente!_1F</vt:lpstr>
      <vt:lpstr>Encarregado!_2.1A</vt:lpstr>
      <vt:lpstr>Servente!_2.1A</vt:lpstr>
      <vt:lpstr>Encarregado!_2.1B</vt:lpstr>
      <vt:lpstr>Servente!_2.1B</vt:lpstr>
      <vt:lpstr>Encarregado!_2.3A</vt:lpstr>
      <vt:lpstr>Servente!_2.3A</vt:lpstr>
      <vt:lpstr>Encarregado!_2.3B</vt:lpstr>
      <vt:lpstr>Servente!_2.3B</vt:lpstr>
      <vt:lpstr>Encarregado!_2.3C</vt:lpstr>
      <vt:lpstr>Servente!_2.3C</vt:lpstr>
      <vt:lpstr>Encarregado!_2.3D</vt:lpstr>
      <vt:lpstr>Servente!_2.3D</vt:lpstr>
      <vt:lpstr>'Áreas e Produtividade'!Area_de_impressao</vt:lpstr>
      <vt:lpstr>'Materiais e Equipamentos'!Area_de_impressao</vt:lpstr>
      <vt:lpstr>'Quadro Resumo'!Area_de_impressao</vt:lpstr>
      <vt:lpstr>Uniformes!Area_de_impressao</vt:lpstr>
      <vt:lpstr>Encarregado!Salário_Normativo_da_Categoria_Profissional</vt:lpstr>
      <vt:lpstr>Servente!Salário_Normativo_da_Categoria_Profissional</vt:lpstr>
      <vt:lpstr>Encarregado!SalarioBase</vt:lpstr>
      <vt:lpstr>Servente!SalarioBase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Carlos</dc:creator>
  <cp:lastModifiedBy>cclif</cp:lastModifiedBy>
  <cp:lastPrinted>2022-06-22T04:59:49Z</cp:lastPrinted>
  <dcterms:created xsi:type="dcterms:W3CDTF">2019-02-19T21:25:00Z</dcterms:created>
  <dcterms:modified xsi:type="dcterms:W3CDTF">2022-07-26T14:48:30Z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1046-11.2.0.10323</vt:lpwstr>
  </property>
  <property fmtid="{D5CDD505-2E9C-101B-9397-08002B2CF9AE}" pid="3" name="ICV">
    <vt:lpwstr>77ECECBA2D4249ABAAA0D521A333FBF6</vt:lpwstr>
  </property>
</Properties>
</file>